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here" sheetId="1" state="visible" r:id="rId3"/>
    <sheet name="Journal" sheetId="2" state="visible" r:id="rId4"/>
    <sheet name="Summary" sheetId="3" state="visible" r:id="rId5"/>
    <sheet name="Example" sheetId="4" state="visible" r:id="rId6"/>
    <sheet name="Example Summary" sheetId="5" state="visible" r:id="rId7"/>
    <sheet name="List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<sst xmlns="http://schemas.openxmlformats.org/spreadsheetml/2006/main" count="365" uniqueCount="156">
  <si>
    <t xml:space="preserve">Swing Trading Journal Template</t>
  </si>
  <si>
    <t xml:space="preserve">Version 1.0, 29 October 2026. Free from becoin.net/templates/swing-trading-journal. No macros. Works in Excel 2016+, Google Sheets and LibreOffice.</t>
  </si>
  <si>
    <t xml:space="preserve">What it does</t>
  </si>
  <si>
    <t xml:space="preserve">Logs multi-day swing trades from entry to final exit: risk, up to two partial exits (scale-outs), net P/L after fees, R-multiple, holding days, optional MAE/MFE, earnings dates and open-position heat. The Summary tab turns the log into expectancy, win/loss stats, results by setup and by month, and an equity curve.</t>
  </si>
  <si>
    <t xml:space="preserve">How to use it</t>
  </si>
  <si>
    <t xml:space="preserve">1. On Journal, type your account size (C3) and your max open heat as a % of equity (C4), e.g. 6%.</t>
  </si>
  <si>
    <t xml:space="preserve">2. When you enter a trade: ticker, Long/Short, setup, catalyst, next earnings date (if any), entry date, shares, entry price, initial stop and target.</t>
  </si>
  <si>
    <t xml:space="preserve">3. If you sell part of the position, type the shares and price in Scale-out 1 (and 2). Move your stop? Type it in Current stop.</t>
  </si>
  <si>
    <t xml:space="preserve">4. When the rest of the position is closed, type the final exit date and price, total fees, and (optional) the worst and best price reached while you held it (MAE/MFE).</t>
  </si>
  <si>
    <t xml:space="preserve">5. Leave the grey columns alone. Check C3:J4 on Journal for current equity and open heat; read Summary once a week.</t>
  </si>
  <si>
    <t xml:space="preserve">6. Change setup and catalyst names on Lists. Add exchange holidays there so holding days skip them.</t>
  </si>
  <si>
    <t xml:space="preserve">Definitions</t>
  </si>
  <si>
    <t xml:space="preserve">Initial risk $ = |entry - initial stop| x shares. R-multiple = net P/L / initial risk. Expectancy (R) = average R per closed trade.</t>
  </si>
  <si>
    <t xml:space="preserve">Holding days = NETWORKDAYS(entry date, final exit date, holidays) - 1: weekdays between entry and exit. 0 = same-day round trip.</t>
  </si>
  <si>
    <t xml:space="preserve">Open heat = for each open trade, shares still held x distance from entry to current stop (0 once the stop is at or past entry), added up and shown as a % of current equity.</t>
  </si>
  <si>
    <t xml:space="preserve">MAE / MFE = maximum adverse / favorable excursion: the worst and best price while the trade was open, shown in R. Optional.</t>
  </si>
  <si>
    <t xml:space="preserve">Win = net P/L &gt; 0 after fees. A trade that nets exactly $0.00 counts as neither a win nor a loss.</t>
  </si>
  <si>
    <t xml:space="preserve">Overnight and gap risk</t>
  </si>
  <si>
    <t xml:space="preserve">Swing trades are held overnight and over weekends. A stock can open far beyond your stop after news or earnings, and a stop order becomes a market order once triggered, so the fill can be worse than the stop. The "Earnings inside trade?" column flags trades whose earnings date falls while you hold them. Example trade 4 shows a gap through the stop (-3.07R).</t>
  </si>
  <si>
    <t xml:space="preserve">Colour key</t>
  </si>
  <si>
    <t xml:space="preserve">Yellow cells: your input. Grey cells: formulas. Red "Check shares": the scale-outs add up to more shares than you bought.</t>
  </si>
  <si>
    <t xml:space="preserve">Example data is fictional</t>
  </si>
  <si>
    <t xml:space="preserve">The Example and Example Summary tabs hold 26 made-up trades (tickers TKR-A to TKR-H, 23 closed and 3 open as of 29 Oct 2026). Prices, fees and results are invented to show the formulas working. Example dates avoid US market holidays, so its Lists holiday column can stay empty.</t>
  </si>
  <si>
    <t xml:space="preserve">Limits</t>
  </si>
  <si>
    <t xml:space="preserve">Stocks/ETFs priced per share only (no option or futures multipliers). One currency. Up to 500 trades per copy. P/L is counted only when the trade is closed; open trades show heat, not unrealized P/L. Scale-out dates are not tracked: P/L is booked in the month of the final exit.</t>
  </si>
  <si>
    <t xml:space="preserve">Disclaimer</t>
  </si>
  <si>
    <t xml:space="preserve">Educational template only, not financial, tax or investment advice. Trading involves risk of loss. Nothing in this file predicts future results.</t>
  </si>
  <si>
    <t xml:space="preserve">Swing trading journal</t>
  </si>
  <si>
    <t xml:space="preserve">Yellow = you type. Grey = formula, leave alone. One row per trade, from entry to final exit. Leave the final exit date and price blank while the trade is open.</t>
  </si>
  <si>
    <t xml:space="preserve">Account size at start</t>
  </si>
  <si>
    <t xml:space="preserve">Current equity</t>
  </si>
  <si>
    <t xml:space="preserve">Open heat %</t>
  </si>
  <si>
    <t xml:space="preserve">Max open heat (% of equity)</t>
  </si>
  <si>
    <t xml:space="preserve">Open heat $</t>
  </si>
  <si>
    <t xml:space="preserve">Heat check</t>
  </si>
  <si>
    <t xml:space="preserve">Ticker</t>
  </si>
  <si>
    <t xml:space="preserve">Long / Short</t>
  </si>
  <si>
    <t xml:space="preserve">Setup</t>
  </si>
  <si>
    <t xml:space="preserve">Catalyst</t>
  </si>
  <si>
    <t xml:space="preserve">Earnings date</t>
  </si>
  <si>
    <t xml:space="preserve">Entry date</t>
  </si>
  <si>
    <t xml:space="preserve">Shares</t>
  </si>
  <si>
    <t xml:space="preserve">Entry price</t>
  </si>
  <si>
    <t xml:space="preserve">Initial stop</t>
  </si>
  <si>
    <t xml:space="preserve">Target</t>
  </si>
  <si>
    <t xml:space="preserve">Current stop (open trades)</t>
  </si>
  <si>
    <t xml:space="preserve">Scale-out 1 shares</t>
  </si>
  <si>
    <t xml:space="preserve">Scale-out 1 price</t>
  </si>
  <si>
    <t xml:space="preserve">Scale-out 2 shares</t>
  </si>
  <si>
    <t xml:space="preserve">Scale-out 2 price</t>
  </si>
  <si>
    <t xml:space="preserve">Final exit date</t>
  </si>
  <si>
    <t xml:space="preserve">Final exit price</t>
  </si>
  <si>
    <t xml:space="preserve">Fees (total)</t>
  </si>
  <si>
    <t xml:space="preserve">MAE price (optional)</t>
  </si>
  <si>
    <t xml:space="preserve">MFE price (optional)</t>
  </si>
  <si>
    <t xml:space="preserve">Status</t>
  </si>
  <si>
    <t xml:space="preserve">Holding days</t>
  </si>
  <si>
    <t xml:space="preserve">Overnight?</t>
  </si>
  <si>
    <t xml:space="preserve">Earnings inside trade?</t>
  </si>
  <si>
    <t xml:space="preserve">Shares left for final exit</t>
  </si>
  <si>
    <t xml:space="preserve">Initial risk $</t>
  </si>
  <si>
    <t xml:space="preserve">Planned reward : risk</t>
  </si>
  <si>
    <t xml:space="preserve">Avg exit price</t>
  </si>
  <si>
    <t xml:space="preserve">Net P/L $ (after fees)</t>
  </si>
  <si>
    <t xml:space="preserve">R-multiple</t>
  </si>
  <si>
    <t xml:space="preserve">MAE (R)</t>
  </si>
  <si>
    <t xml:space="preserve">MFE (R)</t>
  </si>
  <si>
    <t xml:space="preserve">Open risk $ (heat)</t>
  </si>
  <si>
    <t xml:space="preserve">Exit month</t>
  </si>
  <si>
    <t xml:space="preserve">Exit order</t>
  </si>
  <si>
    <t xml:space="preserve">Summary</t>
  </si>
  <si>
    <t xml:space="preserve">Everything here is a formula reading the Journal tab. Closed trades only, unless the row says open.</t>
  </si>
  <si>
    <t xml:space="preserve">By setup</t>
  </si>
  <si>
    <t xml:space="preserve">Equity curve: closed trades in exit-date order</t>
  </si>
  <si>
    <t xml:space="preserve">Metric</t>
  </si>
  <si>
    <t xml:space="preserve">Value</t>
  </si>
  <si>
    <t xml:space="preserve">Closed</t>
  </si>
  <si>
    <t xml:space="preserve">Win rate</t>
  </si>
  <si>
    <t xml:space="preserve">Net P/L</t>
  </si>
  <si>
    <t xml:space="preserve">Avg R</t>
  </si>
  <si>
    <t xml:space="preserve">Avg days</t>
  </si>
  <si>
    <t xml:space="preserve">Open</t>
  </si>
  <si>
    <t xml:space="preserve">No.</t>
  </si>
  <si>
    <t xml:space="preserve">Exit date</t>
  </si>
  <si>
    <t xml:space="preserve">R</t>
  </si>
  <si>
    <t xml:space="preserve">Equity</t>
  </si>
  <si>
    <t xml:space="preserve">Drawdown</t>
  </si>
  <si>
    <t xml:space="preserve">Start</t>
  </si>
  <si>
    <t xml:space="preserve">Closed trades</t>
  </si>
  <si>
    <t xml:space="preserve">Open positions</t>
  </si>
  <si>
    <t xml:space="preserve">Winning trades (net P/L &gt; 0)</t>
  </si>
  <si>
    <t xml:space="preserve">Losing trades (net P/L &lt; 0)</t>
  </si>
  <si>
    <t xml:space="preserve">Net P/L, closed trades</t>
  </si>
  <si>
    <t xml:space="preserve">Fees paid, closed trades</t>
  </si>
  <si>
    <t xml:space="preserve">Average win $</t>
  </si>
  <si>
    <t xml:space="preserve">Average loss $</t>
  </si>
  <si>
    <t xml:space="preserve">Payoff ratio (avg win / avg loss)</t>
  </si>
  <si>
    <t xml:space="preserve">Profit factor (gross profit / gross loss)</t>
  </si>
  <si>
    <t xml:space="preserve">Closed trades with a stop (risk &gt; 0)</t>
  </si>
  <si>
    <t xml:space="preserve">Expectancy in R = average R per trade</t>
  </si>
  <si>
    <t xml:space="preserve">Average win in R</t>
  </si>
  <si>
    <t xml:space="preserve">By month (exit month)</t>
  </si>
  <si>
    <t xml:space="preserve">Average loss in R</t>
  </si>
  <si>
    <t xml:space="preserve">Month</t>
  </si>
  <si>
    <t xml:space="preserve">Wins</t>
  </si>
  <si>
    <t xml:space="preserve">Sum of R</t>
  </si>
  <si>
    <t xml:space="preserve">Expectancy $ per trade (net P/L / trades)</t>
  </si>
  <si>
    <t xml:space="preserve">Check: win% x avg win + loss% x avg loss</t>
  </si>
  <si>
    <t xml:space="preserve">Average holding days</t>
  </si>
  <si>
    <t xml:space="preserve">Average holding days, winners</t>
  </si>
  <si>
    <t xml:space="preserve">Average holding days, losers</t>
  </si>
  <si>
    <t xml:space="preserve">Same-day round trips (0 holding days)</t>
  </si>
  <si>
    <t xml:space="preserve">Closed trades held through earnings</t>
  </si>
  <si>
    <t xml:space="preserve">Net P/L of those trades</t>
  </si>
  <si>
    <t xml:space="preserve">Average MAE (R), where filled</t>
  </si>
  <si>
    <t xml:space="preserve">Average MFE (R), where filled</t>
  </si>
  <si>
    <t xml:space="preserve">Largest win</t>
  </si>
  <si>
    <t xml:space="preserve">Largest loss</t>
  </si>
  <si>
    <t xml:space="preserve">Max drawdown $ (closed-trade equity)</t>
  </si>
  <si>
    <t xml:space="preserve">Current equity (start + closed P/L)</t>
  </si>
  <si>
    <t xml:space="preserve">Return on starting account</t>
  </si>
  <si>
    <t xml:space="preserve">Open heat $ (risk to current stops)</t>
  </si>
  <si>
    <t xml:space="preserve">Open heat % of current equity</t>
  </si>
  <si>
    <t xml:space="preserve">Your max open heat</t>
  </si>
  <si>
    <t xml:space="preserve">Example: 26 fictional swing trades (as of 29 Oct 2026)</t>
  </si>
  <si>
    <t xml:space="preserve">TKR-A</t>
  </si>
  <si>
    <t xml:space="preserve">Long</t>
  </si>
  <si>
    <t xml:space="preserve">Breakout</t>
  </si>
  <si>
    <t xml:space="preserve">None</t>
  </si>
  <si>
    <t xml:space="preserve">TKR-B</t>
  </si>
  <si>
    <t xml:space="preserve">Pullback</t>
  </si>
  <si>
    <t xml:space="preserve">TKR-C</t>
  </si>
  <si>
    <t xml:space="preserve">Short</t>
  </si>
  <si>
    <t xml:space="preserve">Failed breakout</t>
  </si>
  <si>
    <t xml:space="preserve">Sector news</t>
  </si>
  <si>
    <t xml:space="preserve">TKR-D</t>
  </si>
  <si>
    <t xml:space="preserve">Base breakout</t>
  </si>
  <si>
    <t xml:space="preserve">Earnings</t>
  </si>
  <si>
    <t xml:space="preserve">TKR-E</t>
  </si>
  <si>
    <t xml:space="preserve">Trend continuation</t>
  </si>
  <si>
    <t xml:space="preserve">TKR-F</t>
  </si>
  <si>
    <t xml:space="preserve">TKR-G</t>
  </si>
  <si>
    <t xml:space="preserve">Mean reversion</t>
  </si>
  <si>
    <t xml:space="preserve">TKR-H</t>
  </si>
  <si>
    <t xml:space="preserve">Earnings gap</t>
  </si>
  <si>
    <t xml:space="preserve">Guidance</t>
  </si>
  <si>
    <t xml:space="preserve">Macro data</t>
  </si>
  <si>
    <t xml:space="preserve">Example Summary (fictional data)</t>
  </si>
  <si>
    <t xml:space="preserve">Everything here is a formula reading the Example tab. Closed trades only, unless the row says open.</t>
  </si>
  <si>
    <t xml:space="preserve">Lists for the dropdowns (edit freely)</t>
  </si>
  <si>
    <t xml:space="preserve">Setup and catalyst names feed the dropdowns and the By setup table (up to 12 each). Column F: market holidays to skip in holding days (NETWORKDAYS). Empty by default: add your exchange holidays.</t>
  </si>
  <si>
    <t xml:space="preserve">Setups</t>
  </si>
  <si>
    <t xml:space="preserve">Catalysts</t>
  </si>
  <si>
    <t xml:space="preserve">Holidays (dates)</t>
  </si>
  <si>
    <t xml:space="preserve">Analyst action</t>
  </si>
  <si>
    <t xml:space="preserve">Other</t>
  </si>
</sst>
</file>

<file path=xl/styles.xml><?xml version="1.0" encoding="utf-8"?>
<styleSheet xmlns="http://schemas.openxmlformats.org/spreadsheetml/2006/main">
  <numFmts count="17">
    <numFmt numFmtId="164" formatCode="General"/>
    <numFmt numFmtId="165" formatCode="\$#,##0.00"/>
    <numFmt numFmtId="166" formatCode="0.00%"/>
    <numFmt numFmtId="167" formatCode="0.0%"/>
    <numFmt numFmtId="168" formatCode="@"/>
    <numFmt numFmtId="169" formatCode="yyyy\-mm\-dd"/>
    <numFmt numFmtId="170" formatCode="#,##0"/>
    <numFmt numFmtId="171" formatCode="#,##0.00"/>
    <numFmt numFmtId="172" formatCode="0"/>
    <numFmt numFmtId="173" formatCode="0.00"/>
    <numFmt numFmtId="174" formatCode="\$#,##0.00;[RED]&quot;-$&quot;#,##0.00"/>
    <numFmt numFmtId="175" formatCode="\+0.00\R;[RED]\-0.00\R"/>
    <numFmt numFmtId="176" formatCode="mmm\ yyyy"/>
    <numFmt numFmtId="177" formatCode="0%"/>
    <numFmt numFmtId="178" formatCode="0.0"/>
    <numFmt numFmtId="179" formatCode="0.00%;[RED]\-0.00%"/>
    <numFmt numFmtId="180" formatCode="\$#,##0"/>
  </numFmts>
  <fonts count="11">
    <font>
      <sz val="11"/>
      <color theme="1"/>
      <name val="Calibri"/>
      <family val="2"/>
      <charset val="1"/>
    </font>
    <font>
      <sz val="10"/>
      <name val="Arial"/>
      <family val="0"/>
    </font>
    <font>
      <sz val="10"/>
      <name val="Arial"/>
      <family val="0"/>
    </font>
    <font>
      <sz val="10"/>
      <name val="Arial"/>
      <family val="0"/>
    </font>
    <font>
      <b val="true"/>
      <sz val="16"/>
      <color rgb="FF4847C1"/>
      <name val="Cambria"/>
      <family val="0"/>
      <charset val="1"/>
    </font>
    <font>
      <b val="true"/>
      <sz val="11"/>
      <name val="Cambria"/>
      <family val="0"/>
      <charset val="1"/>
    </font>
    <font>
      <i val="true"/>
      <sz val="11"/>
      <color rgb="FF555566"/>
      <name val="Cambria"/>
      <family val="0"/>
      <charset val="1"/>
    </font>
    <font>
      <b val="true"/>
      <sz val="11"/>
      <color rgb="FFFFFFFF"/>
      <name val="Cambria"/>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FFF7E0"/>
        <bgColor rgb="FFF2F2F7"/>
      </patternFill>
    </fill>
    <fill>
      <patternFill patternType="solid">
        <fgColor rgb="FFF2F2F7"/>
        <bgColor rgb="FFFFF7E0"/>
      </patternFill>
    </fill>
    <fill>
      <patternFill patternType="solid">
        <fgColor rgb="FF4847C1"/>
        <bgColor rgb="FF555566"/>
      </patternFill>
    </fill>
  </fills>
  <borders count="2">
    <border diagonalUp="false" diagonalDown="false">
      <left/>
      <right/>
      <top/>
      <bottom/>
      <diagonal/>
    </border>
    <border diagonalUp="false" diagonalDown="false">
      <left/>
      <right/>
      <top/>
      <bottom style="thin">
        <color rgb="FFDEDE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5" fontId="5" fillId="3" borderId="0" xfId="0" applyFont="true" applyBorder="false" applyAlignment="false" applyProtection="false">
      <alignment horizontal="general" vertical="bottom" textRotation="0" wrapText="false" indent="0" shrinkToFit="false"/>
      <protection locked="true" hidden="false"/>
    </xf>
    <xf numFmtId="166" fontId="5" fillId="3" borderId="0" xfId="0" applyFont="true" applyBorder="false" applyAlignment="false" applyProtection="false">
      <alignment horizontal="general" vertical="bottom" textRotation="0" wrapText="false" indent="0" shrinkToFit="false"/>
      <protection locked="true" hidden="false"/>
    </xf>
    <xf numFmtId="167" fontId="0" fillId="2" borderId="0" xfId="0" applyFont="fals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center" vertical="center" textRotation="0" wrapText="true" indent="0" shrinkToFit="false"/>
      <protection locked="true" hidden="false"/>
    </xf>
    <xf numFmtId="168" fontId="0" fillId="2"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9" fontId="0" fillId="2" borderId="0" xfId="0" applyFont="false" applyBorder="false" applyAlignment="false" applyProtection="false">
      <alignment horizontal="general" vertical="bottom" textRotation="0" wrapText="false" indent="0" shrinkToFit="false"/>
      <protection locked="true" hidden="false"/>
    </xf>
    <xf numFmtId="170" fontId="0" fillId="2" borderId="0" xfId="0" applyFont="false" applyBorder="false" applyAlignment="false" applyProtection="false">
      <alignment horizontal="general" vertical="bottom" textRotation="0" wrapText="false" indent="0" shrinkToFit="false"/>
      <protection locked="true" hidden="false"/>
    </xf>
    <xf numFmtId="171"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72" fontId="0" fillId="3" borderId="0" xfId="0" applyFont="false" applyBorder="false" applyAlignment="false" applyProtection="false">
      <alignment horizontal="general" vertical="bottom" textRotation="0" wrapText="false" indent="0" shrinkToFit="false"/>
      <protection locked="true" hidden="false"/>
    </xf>
    <xf numFmtId="170" fontId="0" fillId="3" borderId="0" xfId="0" applyFont="false" applyBorder="false" applyAlignment="false" applyProtection="false">
      <alignment horizontal="general" vertical="bottom" textRotation="0" wrapText="false" indent="0" shrinkToFit="false"/>
      <protection locked="true" hidden="false"/>
    </xf>
    <xf numFmtId="165" fontId="0" fillId="3" borderId="0" xfId="0" applyFont="false" applyBorder="false" applyAlignment="false" applyProtection="false">
      <alignment horizontal="general" vertical="bottom" textRotation="0" wrapText="false" indent="0" shrinkToFit="false"/>
      <protection locked="true" hidden="false"/>
    </xf>
    <xf numFmtId="173" fontId="0" fillId="3" borderId="0" xfId="0" applyFont="false" applyBorder="false" applyAlignment="false" applyProtection="false">
      <alignment horizontal="general" vertical="bottom" textRotation="0" wrapText="false" indent="0" shrinkToFit="false"/>
      <protection locked="true" hidden="false"/>
    </xf>
    <xf numFmtId="171" fontId="0" fillId="3" borderId="0" xfId="0" applyFont="false" applyBorder="false" applyAlignment="false" applyProtection="false">
      <alignment horizontal="general" vertical="bottom" textRotation="0" wrapText="false" indent="0" shrinkToFit="false"/>
      <protection locked="true" hidden="false"/>
    </xf>
    <xf numFmtId="174" fontId="0" fillId="3" borderId="0" xfId="0" applyFont="false" applyBorder="false" applyAlignment="false" applyProtection="false">
      <alignment horizontal="general" vertical="bottom" textRotation="0" wrapText="false" indent="0" shrinkToFit="false"/>
      <protection locked="true" hidden="false"/>
    </xf>
    <xf numFmtId="175" fontId="0" fillId="3" borderId="0" xfId="0" applyFont="false" applyBorder="false" applyAlignment="false" applyProtection="false">
      <alignment horizontal="general" vertical="bottom" textRotation="0" wrapText="false" indent="0" shrinkToFit="false"/>
      <protection locked="true" hidden="false"/>
    </xf>
    <xf numFmtId="176" fontId="0" fillId="3" borderId="0" xfId="0" applyFont="fals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center" vertical="bottom" textRotation="0" wrapText="true" indent="0" shrinkToFit="false"/>
      <protection locked="true" hidden="false"/>
    </xf>
    <xf numFmtId="164" fontId="7" fillId="4" borderId="0" xfId="0" applyFont="true" applyBorder="false" applyAlignment="true" applyProtection="false">
      <alignment horizontal="center"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7"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true" applyBorder="false" applyAlignment="false" applyProtection="false">
      <alignment horizontal="general" vertical="bottom" textRotation="0" wrapText="false" indent="0" shrinkToFit="false"/>
      <protection locked="true" hidden="false"/>
    </xf>
    <xf numFmtId="172"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74" fontId="0" fillId="3" borderId="1" xfId="0" applyFont="false" applyBorder="true" applyAlignment="false" applyProtection="false">
      <alignment horizontal="general" vertical="bottom" textRotation="0" wrapText="false" indent="0" shrinkToFit="false"/>
      <protection locked="true" hidden="false"/>
    </xf>
    <xf numFmtId="173" fontId="0" fillId="3" borderId="1" xfId="0" applyFont="false" applyBorder="true" applyAlignment="false" applyProtection="false">
      <alignment horizontal="general" vertical="bottom" textRotation="0" wrapText="false" indent="0" shrinkToFit="false"/>
      <protection locked="true" hidden="false"/>
    </xf>
    <xf numFmtId="175" fontId="0" fillId="3" borderId="1" xfId="0" applyFont="false" applyBorder="tru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78" fontId="0" fillId="3" borderId="1" xfId="0" applyFont="false" applyBorder="true" applyAlignment="false" applyProtection="false">
      <alignment horizontal="general" vertical="bottom" textRotation="0" wrapText="false" indent="0" shrinkToFit="false"/>
      <protection locked="true" hidden="false"/>
    </xf>
    <xf numFmtId="179" fontId="0" fillId="3" borderId="1" xfId="0" applyFont="fals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b val="1"/>
        <color rgb="FFB42318"/>
      </font>
    </dxf>
    <dxf>
      <font>
        <b val="1"/>
        <color rgb="FF9A6700"/>
      </font>
    </dxf>
    <dxf>
      <font>
        <color rgb="FF17784A"/>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9A6700"/>
      <rgbColor rgb="FF800080"/>
      <rgbColor rgb="FF17784A"/>
      <rgbColor rgb="FFC0C0C0"/>
      <rgbColor rgb="FF878787"/>
      <rgbColor rgb="FF9999FF"/>
      <rgbColor rgb="FF993366"/>
      <rgbColor rgb="FFFFF7E0"/>
      <rgbColor rgb="FFF2F2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EDEEC"/>
      <rgbColor rgb="FFCCFFCC"/>
      <rgbColor rgb="FFFFFF99"/>
      <rgbColor rgb="FF99CCFF"/>
      <rgbColor rgb="FFFF99CC"/>
      <rgbColor rgb="FFCC99FF"/>
      <rgbColor rgb="FFFFCC99"/>
      <rgbColor rgb="FF3366FF"/>
      <rgbColor rgb="FF33CCCC"/>
      <rgbColor rgb="FF99CC00"/>
      <rgbColor rgb="FFFFCC00"/>
      <rgbColor rgb="FFFF9900"/>
      <rgbColor rgb="FFFF6600"/>
      <rgbColor rgb="FF555566"/>
      <rgbColor rgb="FF969696"/>
      <rgbColor rgb="FF003366"/>
      <rgbColor rgb="FF339966"/>
      <rgbColor rgb="FF003300"/>
      <rgbColor rgb="FF333300"/>
      <rgbColor rgb="FFB42318"/>
      <rgbColor rgb="FF993366"/>
      <rgbColor rgb="FF4847C1"/>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Equity curve (closed trades)</a:t>
            </a:r>
          </a:p>
        </c:rich>
      </c:tx>
      <c:overlay val="0"/>
      <c:spPr>
        <a:noFill/>
        <a:ln w="0">
          <a:noFill/>
        </a:ln>
      </c:spPr>
    </c:title>
    <c:autoTitleDeleted val="0"/>
    <c:plotArea>
      <c:lineChart>
        <c:grouping val="standard"/>
        <c:varyColors val="0"/>
        <c:ser>
          <c:idx val="0"/>
          <c:order val="0"/>
          <c:tx>
            <c:strRef>
              <c:f>Summary!Q4</c:f>
              <c:strCache>
                <c:ptCount val="1"/>
                <c:pt idx="0">
                  <c:v>Equity</c:v>
                </c:pt>
              </c:strCache>
            </c:strRef>
          </c:tx>
          <c:spPr>
            <a:solidFill>
              <a:srgbClr val="4847c1"/>
            </a:solidFill>
            <a:ln w="28080">
              <a:solidFill>
                <a:srgbClr val="4847c1"/>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Summary!$L$5:$L$505</c:f>
              <c:strCache>
                <c:ptCount val="5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strCache>
            </c:strRef>
          </c:cat>
          <c:val>
            <c:numRef>
              <c:f>Summary!$Q$5:$Q$505</c:f>
              <c:numCache>
                <c:formatCode>\$#,##0.00;[RED]"-$"#,##0.00</c:formatCode>
                <c:ptCount val="501"/>
                <c:pt idx="0">
                  <c:v>20000</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20000</c:v>
                </c:pt>
                <c:pt idx="23">
                  <c:v>20000</c:v>
                </c:pt>
                <c:pt idx="24">
                  <c:v>20000</c:v>
                </c:pt>
                <c:pt idx="25">
                  <c:v>20000</c:v>
                </c:pt>
                <c:pt idx="26">
                  <c:v>20000</c:v>
                </c:pt>
                <c:pt idx="27">
                  <c:v>20000</c:v>
                </c:pt>
                <c:pt idx="28">
                  <c:v>20000</c:v>
                </c:pt>
                <c:pt idx="29">
                  <c:v>20000</c:v>
                </c:pt>
                <c:pt idx="30">
                  <c:v>20000</c:v>
                </c:pt>
                <c:pt idx="31">
                  <c:v>20000</c:v>
                </c:pt>
                <c:pt idx="32">
                  <c:v>20000</c:v>
                </c:pt>
                <c:pt idx="33">
                  <c:v>20000</c:v>
                </c:pt>
                <c:pt idx="34">
                  <c:v>20000</c:v>
                </c:pt>
                <c:pt idx="35">
                  <c:v>20000</c:v>
                </c:pt>
                <c:pt idx="36">
                  <c:v>20000</c:v>
                </c:pt>
                <c:pt idx="37">
                  <c:v>20000</c:v>
                </c:pt>
                <c:pt idx="38">
                  <c:v>20000</c:v>
                </c:pt>
                <c:pt idx="39">
                  <c:v>20000</c:v>
                </c:pt>
                <c:pt idx="40">
                  <c:v>20000</c:v>
                </c:pt>
                <c:pt idx="41">
                  <c:v>20000</c:v>
                </c:pt>
                <c:pt idx="42">
                  <c:v>20000</c:v>
                </c:pt>
                <c:pt idx="43">
                  <c:v>20000</c:v>
                </c:pt>
                <c:pt idx="44">
                  <c:v>20000</c:v>
                </c:pt>
                <c:pt idx="45">
                  <c:v>20000</c:v>
                </c:pt>
                <c:pt idx="46">
                  <c:v>20000</c:v>
                </c:pt>
                <c:pt idx="47">
                  <c:v>20000</c:v>
                </c:pt>
                <c:pt idx="48">
                  <c:v>20000</c:v>
                </c:pt>
                <c:pt idx="49">
                  <c:v>20000</c:v>
                </c:pt>
                <c:pt idx="50">
                  <c:v>20000</c:v>
                </c:pt>
                <c:pt idx="51">
                  <c:v>20000</c:v>
                </c:pt>
                <c:pt idx="52">
                  <c:v>20000</c:v>
                </c:pt>
                <c:pt idx="53">
                  <c:v>20000</c:v>
                </c:pt>
                <c:pt idx="54">
                  <c:v>20000</c:v>
                </c:pt>
                <c:pt idx="55">
                  <c:v>20000</c:v>
                </c:pt>
                <c:pt idx="56">
                  <c:v>20000</c:v>
                </c:pt>
                <c:pt idx="57">
                  <c:v>20000</c:v>
                </c:pt>
                <c:pt idx="58">
                  <c:v>20000</c:v>
                </c:pt>
                <c:pt idx="59">
                  <c:v>20000</c:v>
                </c:pt>
                <c:pt idx="60">
                  <c:v>20000</c:v>
                </c:pt>
                <c:pt idx="61">
                  <c:v>20000</c:v>
                </c:pt>
                <c:pt idx="62">
                  <c:v>20000</c:v>
                </c:pt>
                <c:pt idx="63">
                  <c:v>20000</c:v>
                </c:pt>
                <c:pt idx="64">
                  <c:v>20000</c:v>
                </c:pt>
                <c:pt idx="65">
                  <c:v>20000</c:v>
                </c:pt>
                <c:pt idx="66">
                  <c:v>20000</c:v>
                </c:pt>
                <c:pt idx="67">
                  <c:v>20000</c:v>
                </c:pt>
                <c:pt idx="68">
                  <c:v>20000</c:v>
                </c:pt>
                <c:pt idx="69">
                  <c:v>20000</c:v>
                </c:pt>
                <c:pt idx="70">
                  <c:v>20000</c:v>
                </c:pt>
                <c:pt idx="71">
                  <c:v>20000</c:v>
                </c:pt>
                <c:pt idx="72">
                  <c:v>20000</c:v>
                </c:pt>
                <c:pt idx="73">
                  <c:v>20000</c:v>
                </c:pt>
                <c:pt idx="74">
                  <c:v>20000</c:v>
                </c:pt>
                <c:pt idx="75">
                  <c:v>20000</c:v>
                </c:pt>
                <c:pt idx="76">
                  <c:v>20000</c:v>
                </c:pt>
                <c:pt idx="77">
                  <c:v>20000</c:v>
                </c:pt>
                <c:pt idx="78">
                  <c:v>20000</c:v>
                </c:pt>
                <c:pt idx="79">
                  <c:v>20000</c:v>
                </c:pt>
                <c:pt idx="80">
                  <c:v>20000</c:v>
                </c:pt>
                <c:pt idx="81">
                  <c:v>20000</c:v>
                </c:pt>
                <c:pt idx="82">
                  <c:v>20000</c:v>
                </c:pt>
                <c:pt idx="83">
                  <c:v>20000</c:v>
                </c:pt>
                <c:pt idx="84">
                  <c:v>20000</c:v>
                </c:pt>
                <c:pt idx="85">
                  <c:v>20000</c:v>
                </c:pt>
                <c:pt idx="86">
                  <c:v>20000</c:v>
                </c:pt>
                <c:pt idx="87">
                  <c:v>20000</c:v>
                </c:pt>
                <c:pt idx="88">
                  <c:v>20000</c:v>
                </c:pt>
                <c:pt idx="89">
                  <c:v>20000</c:v>
                </c:pt>
                <c:pt idx="90">
                  <c:v>20000</c:v>
                </c:pt>
                <c:pt idx="91">
                  <c:v>20000</c:v>
                </c:pt>
                <c:pt idx="92">
                  <c:v>20000</c:v>
                </c:pt>
                <c:pt idx="93">
                  <c:v>20000</c:v>
                </c:pt>
                <c:pt idx="94">
                  <c:v>20000</c:v>
                </c:pt>
                <c:pt idx="95">
                  <c:v>20000</c:v>
                </c:pt>
                <c:pt idx="96">
                  <c:v>20000</c:v>
                </c:pt>
                <c:pt idx="97">
                  <c:v>20000</c:v>
                </c:pt>
                <c:pt idx="98">
                  <c:v>20000</c:v>
                </c:pt>
                <c:pt idx="99">
                  <c:v>20000</c:v>
                </c:pt>
                <c:pt idx="100">
                  <c:v>20000</c:v>
                </c:pt>
                <c:pt idx="101">
                  <c:v>20000</c:v>
                </c:pt>
                <c:pt idx="102">
                  <c:v>20000</c:v>
                </c:pt>
                <c:pt idx="103">
                  <c:v>20000</c:v>
                </c:pt>
                <c:pt idx="104">
                  <c:v>20000</c:v>
                </c:pt>
                <c:pt idx="105">
                  <c:v>20000</c:v>
                </c:pt>
                <c:pt idx="106">
                  <c:v>20000</c:v>
                </c:pt>
                <c:pt idx="107">
                  <c:v>20000</c:v>
                </c:pt>
                <c:pt idx="108">
                  <c:v>20000</c:v>
                </c:pt>
                <c:pt idx="109">
                  <c:v>20000</c:v>
                </c:pt>
                <c:pt idx="110">
                  <c:v>20000</c:v>
                </c:pt>
                <c:pt idx="111">
                  <c:v>20000</c:v>
                </c:pt>
                <c:pt idx="112">
                  <c:v>20000</c:v>
                </c:pt>
                <c:pt idx="113">
                  <c:v>20000</c:v>
                </c:pt>
                <c:pt idx="114">
                  <c:v>20000</c:v>
                </c:pt>
                <c:pt idx="115">
                  <c:v>20000</c:v>
                </c:pt>
                <c:pt idx="116">
                  <c:v>20000</c:v>
                </c:pt>
                <c:pt idx="117">
                  <c:v>20000</c:v>
                </c:pt>
                <c:pt idx="118">
                  <c:v>20000</c:v>
                </c:pt>
                <c:pt idx="119">
                  <c:v>20000</c:v>
                </c:pt>
                <c:pt idx="120">
                  <c:v>20000</c:v>
                </c:pt>
                <c:pt idx="121">
                  <c:v>20000</c:v>
                </c:pt>
                <c:pt idx="122">
                  <c:v>20000</c:v>
                </c:pt>
                <c:pt idx="123">
                  <c:v>20000</c:v>
                </c:pt>
                <c:pt idx="124">
                  <c:v>20000</c:v>
                </c:pt>
                <c:pt idx="125">
                  <c:v>20000</c:v>
                </c:pt>
                <c:pt idx="126">
                  <c:v>20000</c:v>
                </c:pt>
                <c:pt idx="127">
                  <c:v>20000</c:v>
                </c:pt>
                <c:pt idx="128">
                  <c:v>20000</c:v>
                </c:pt>
                <c:pt idx="129">
                  <c:v>20000</c:v>
                </c:pt>
                <c:pt idx="130">
                  <c:v>20000</c:v>
                </c:pt>
                <c:pt idx="131">
                  <c:v>20000</c:v>
                </c:pt>
                <c:pt idx="132">
                  <c:v>20000</c:v>
                </c:pt>
                <c:pt idx="133">
                  <c:v>20000</c:v>
                </c:pt>
                <c:pt idx="134">
                  <c:v>20000</c:v>
                </c:pt>
                <c:pt idx="135">
                  <c:v>20000</c:v>
                </c:pt>
                <c:pt idx="136">
                  <c:v>20000</c:v>
                </c:pt>
                <c:pt idx="137">
                  <c:v>20000</c:v>
                </c:pt>
                <c:pt idx="138">
                  <c:v>20000</c:v>
                </c:pt>
                <c:pt idx="139">
                  <c:v>20000</c:v>
                </c:pt>
                <c:pt idx="140">
                  <c:v>20000</c:v>
                </c:pt>
                <c:pt idx="141">
                  <c:v>20000</c:v>
                </c:pt>
                <c:pt idx="142">
                  <c:v>20000</c:v>
                </c:pt>
                <c:pt idx="143">
                  <c:v>20000</c:v>
                </c:pt>
                <c:pt idx="144">
                  <c:v>20000</c:v>
                </c:pt>
                <c:pt idx="145">
                  <c:v>20000</c:v>
                </c:pt>
                <c:pt idx="146">
                  <c:v>20000</c:v>
                </c:pt>
                <c:pt idx="147">
                  <c:v>20000</c:v>
                </c:pt>
                <c:pt idx="148">
                  <c:v>20000</c:v>
                </c:pt>
                <c:pt idx="149">
                  <c:v>20000</c:v>
                </c:pt>
                <c:pt idx="150">
                  <c:v>20000</c:v>
                </c:pt>
                <c:pt idx="151">
                  <c:v>20000</c:v>
                </c:pt>
                <c:pt idx="152">
                  <c:v>20000</c:v>
                </c:pt>
                <c:pt idx="153">
                  <c:v>20000</c:v>
                </c:pt>
                <c:pt idx="154">
                  <c:v>20000</c:v>
                </c:pt>
                <c:pt idx="155">
                  <c:v>20000</c:v>
                </c:pt>
                <c:pt idx="156">
                  <c:v>20000</c:v>
                </c:pt>
                <c:pt idx="157">
                  <c:v>20000</c:v>
                </c:pt>
                <c:pt idx="158">
                  <c:v>20000</c:v>
                </c:pt>
                <c:pt idx="159">
                  <c:v>20000</c:v>
                </c:pt>
                <c:pt idx="160">
                  <c:v>20000</c:v>
                </c:pt>
                <c:pt idx="161">
                  <c:v>20000</c:v>
                </c:pt>
                <c:pt idx="162">
                  <c:v>20000</c:v>
                </c:pt>
                <c:pt idx="163">
                  <c:v>20000</c:v>
                </c:pt>
                <c:pt idx="164">
                  <c:v>20000</c:v>
                </c:pt>
                <c:pt idx="165">
                  <c:v>20000</c:v>
                </c:pt>
                <c:pt idx="166">
                  <c:v>20000</c:v>
                </c:pt>
                <c:pt idx="167">
                  <c:v>20000</c:v>
                </c:pt>
                <c:pt idx="168">
                  <c:v>20000</c:v>
                </c:pt>
                <c:pt idx="169">
                  <c:v>20000</c:v>
                </c:pt>
                <c:pt idx="170">
                  <c:v>20000</c:v>
                </c:pt>
                <c:pt idx="171">
                  <c:v>20000</c:v>
                </c:pt>
                <c:pt idx="172">
                  <c:v>20000</c:v>
                </c:pt>
                <c:pt idx="173">
                  <c:v>20000</c:v>
                </c:pt>
                <c:pt idx="174">
                  <c:v>20000</c:v>
                </c:pt>
                <c:pt idx="175">
                  <c:v>20000</c:v>
                </c:pt>
                <c:pt idx="176">
                  <c:v>20000</c:v>
                </c:pt>
                <c:pt idx="177">
                  <c:v>20000</c:v>
                </c:pt>
                <c:pt idx="178">
                  <c:v>20000</c:v>
                </c:pt>
                <c:pt idx="179">
                  <c:v>20000</c:v>
                </c:pt>
                <c:pt idx="180">
                  <c:v>20000</c:v>
                </c:pt>
                <c:pt idx="181">
                  <c:v>20000</c:v>
                </c:pt>
                <c:pt idx="182">
                  <c:v>20000</c:v>
                </c:pt>
                <c:pt idx="183">
                  <c:v>20000</c:v>
                </c:pt>
                <c:pt idx="184">
                  <c:v>20000</c:v>
                </c:pt>
                <c:pt idx="185">
                  <c:v>20000</c:v>
                </c:pt>
                <c:pt idx="186">
                  <c:v>20000</c:v>
                </c:pt>
                <c:pt idx="187">
                  <c:v>20000</c:v>
                </c:pt>
                <c:pt idx="188">
                  <c:v>20000</c:v>
                </c:pt>
                <c:pt idx="189">
                  <c:v>20000</c:v>
                </c:pt>
                <c:pt idx="190">
                  <c:v>20000</c:v>
                </c:pt>
                <c:pt idx="191">
                  <c:v>20000</c:v>
                </c:pt>
                <c:pt idx="192">
                  <c:v>20000</c:v>
                </c:pt>
                <c:pt idx="193">
                  <c:v>20000</c:v>
                </c:pt>
                <c:pt idx="194">
                  <c:v>20000</c:v>
                </c:pt>
                <c:pt idx="195">
                  <c:v>20000</c:v>
                </c:pt>
                <c:pt idx="196">
                  <c:v>20000</c:v>
                </c:pt>
                <c:pt idx="197">
                  <c:v>20000</c:v>
                </c:pt>
                <c:pt idx="198">
                  <c:v>20000</c:v>
                </c:pt>
                <c:pt idx="199">
                  <c:v>20000</c:v>
                </c:pt>
                <c:pt idx="200">
                  <c:v>20000</c:v>
                </c:pt>
                <c:pt idx="201">
                  <c:v>20000</c:v>
                </c:pt>
                <c:pt idx="202">
                  <c:v>20000</c:v>
                </c:pt>
                <c:pt idx="203">
                  <c:v>20000</c:v>
                </c:pt>
                <c:pt idx="204">
                  <c:v>20000</c:v>
                </c:pt>
                <c:pt idx="205">
                  <c:v>20000</c:v>
                </c:pt>
                <c:pt idx="206">
                  <c:v>20000</c:v>
                </c:pt>
                <c:pt idx="207">
                  <c:v>20000</c:v>
                </c:pt>
                <c:pt idx="208">
                  <c:v>20000</c:v>
                </c:pt>
                <c:pt idx="209">
                  <c:v>20000</c:v>
                </c:pt>
                <c:pt idx="210">
                  <c:v>20000</c:v>
                </c:pt>
                <c:pt idx="211">
                  <c:v>20000</c:v>
                </c:pt>
                <c:pt idx="212">
                  <c:v>20000</c:v>
                </c:pt>
                <c:pt idx="213">
                  <c:v>20000</c:v>
                </c:pt>
                <c:pt idx="214">
                  <c:v>20000</c:v>
                </c:pt>
                <c:pt idx="215">
                  <c:v>20000</c:v>
                </c:pt>
                <c:pt idx="216">
                  <c:v>20000</c:v>
                </c:pt>
                <c:pt idx="217">
                  <c:v>20000</c:v>
                </c:pt>
                <c:pt idx="218">
                  <c:v>20000</c:v>
                </c:pt>
                <c:pt idx="219">
                  <c:v>20000</c:v>
                </c:pt>
                <c:pt idx="220">
                  <c:v>20000</c:v>
                </c:pt>
                <c:pt idx="221">
                  <c:v>20000</c:v>
                </c:pt>
                <c:pt idx="222">
                  <c:v>20000</c:v>
                </c:pt>
                <c:pt idx="223">
                  <c:v>20000</c:v>
                </c:pt>
                <c:pt idx="224">
                  <c:v>20000</c:v>
                </c:pt>
                <c:pt idx="225">
                  <c:v>20000</c:v>
                </c:pt>
                <c:pt idx="226">
                  <c:v>20000</c:v>
                </c:pt>
                <c:pt idx="227">
                  <c:v>20000</c:v>
                </c:pt>
                <c:pt idx="228">
                  <c:v>20000</c:v>
                </c:pt>
                <c:pt idx="229">
                  <c:v>20000</c:v>
                </c:pt>
                <c:pt idx="230">
                  <c:v>20000</c:v>
                </c:pt>
                <c:pt idx="231">
                  <c:v>20000</c:v>
                </c:pt>
                <c:pt idx="232">
                  <c:v>20000</c:v>
                </c:pt>
                <c:pt idx="233">
                  <c:v>20000</c:v>
                </c:pt>
                <c:pt idx="234">
                  <c:v>20000</c:v>
                </c:pt>
                <c:pt idx="235">
                  <c:v>20000</c:v>
                </c:pt>
                <c:pt idx="236">
                  <c:v>20000</c:v>
                </c:pt>
                <c:pt idx="237">
                  <c:v>20000</c:v>
                </c:pt>
                <c:pt idx="238">
                  <c:v>20000</c:v>
                </c:pt>
                <c:pt idx="239">
                  <c:v>20000</c:v>
                </c:pt>
                <c:pt idx="240">
                  <c:v>20000</c:v>
                </c:pt>
                <c:pt idx="241">
                  <c:v>20000</c:v>
                </c:pt>
                <c:pt idx="242">
                  <c:v>20000</c:v>
                </c:pt>
                <c:pt idx="243">
                  <c:v>20000</c:v>
                </c:pt>
                <c:pt idx="244">
                  <c:v>20000</c:v>
                </c:pt>
                <c:pt idx="245">
                  <c:v>20000</c:v>
                </c:pt>
                <c:pt idx="246">
                  <c:v>20000</c:v>
                </c:pt>
                <c:pt idx="247">
                  <c:v>20000</c:v>
                </c:pt>
                <c:pt idx="248">
                  <c:v>20000</c:v>
                </c:pt>
                <c:pt idx="249">
                  <c:v>20000</c:v>
                </c:pt>
                <c:pt idx="250">
                  <c:v>20000</c:v>
                </c:pt>
                <c:pt idx="251">
                  <c:v>20000</c:v>
                </c:pt>
                <c:pt idx="252">
                  <c:v>20000</c:v>
                </c:pt>
                <c:pt idx="253">
                  <c:v>20000</c:v>
                </c:pt>
                <c:pt idx="254">
                  <c:v>20000</c:v>
                </c:pt>
                <c:pt idx="255">
                  <c:v>20000</c:v>
                </c:pt>
                <c:pt idx="256">
                  <c:v>20000</c:v>
                </c:pt>
                <c:pt idx="257">
                  <c:v>20000</c:v>
                </c:pt>
                <c:pt idx="258">
                  <c:v>20000</c:v>
                </c:pt>
                <c:pt idx="259">
                  <c:v>20000</c:v>
                </c:pt>
                <c:pt idx="260">
                  <c:v>20000</c:v>
                </c:pt>
                <c:pt idx="261">
                  <c:v>20000</c:v>
                </c:pt>
                <c:pt idx="262">
                  <c:v>20000</c:v>
                </c:pt>
                <c:pt idx="263">
                  <c:v>20000</c:v>
                </c:pt>
                <c:pt idx="264">
                  <c:v>20000</c:v>
                </c:pt>
                <c:pt idx="265">
                  <c:v>20000</c:v>
                </c:pt>
                <c:pt idx="266">
                  <c:v>20000</c:v>
                </c:pt>
                <c:pt idx="267">
                  <c:v>20000</c:v>
                </c:pt>
                <c:pt idx="268">
                  <c:v>20000</c:v>
                </c:pt>
                <c:pt idx="269">
                  <c:v>20000</c:v>
                </c:pt>
                <c:pt idx="270">
                  <c:v>20000</c:v>
                </c:pt>
                <c:pt idx="271">
                  <c:v>20000</c:v>
                </c:pt>
                <c:pt idx="272">
                  <c:v>20000</c:v>
                </c:pt>
                <c:pt idx="273">
                  <c:v>20000</c:v>
                </c:pt>
                <c:pt idx="274">
                  <c:v>20000</c:v>
                </c:pt>
                <c:pt idx="275">
                  <c:v>20000</c:v>
                </c:pt>
                <c:pt idx="276">
                  <c:v>20000</c:v>
                </c:pt>
                <c:pt idx="277">
                  <c:v>20000</c:v>
                </c:pt>
                <c:pt idx="278">
                  <c:v>20000</c:v>
                </c:pt>
                <c:pt idx="279">
                  <c:v>20000</c:v>
                </c:pt>
                <c:pt idx="280">
                  <c:v>20000</c:v>
                </c:pt>
                <c:pt idx="281">
                  <c:v>20000</c:v>
                </c:pt>
                <c:pt idx="282">
                  <c:v>20000</c:v>
                </c:pt>
                <c:pt idx="283">
                  <c:v>20000</c:v>
                </c:pt>
                <c:pt idx="284">
                  <c:v>20000</c:v>
                </c:pt>
                <c:pt idx="285">
                  <c:v>20000</c:v>
                </c:pt>
                <c:pt idx="286">
                  <c:v>20000</c:v>
                </c:pt>
                <c:pt idx="287">
                  <c:v>20000</c:v>
                </c:pt>
                <c:pt idx="288">
                  <c:v>20000</c:v>
                </c:pt>
                <c:pt idx="289">
                  <c:v>20000</c:v>
                </c:pt>
                <c:pt idx="290">
                  <c:v>20000</c:v>
                </c:pt>
                <c:pt idx="291">
                  <c:v>20000</c:v>
                </c:pt>
                <c:pt idx="292">
                  <c:v>20000</c:v>
                </c:pt>
                <c:pt idx="293">
                  <c:v>20000</c:v>
                </c:pt>
                <c:pt idx="294">
                  <c:v>20000</c:v>
                </c:pt>
                <c:pt idx="295">
                  <c:v>20000</c:v>
                </c:pt>
                <c:pt idx="296">
                  <c:v>20000</c:v>
                </c:pt>
                <c:pt idx="297">
                  <c:v>20000</c:v>
                </c:pt>
                <c:pt idx="298">
                  <c:v>20000</c:v>
                </c:pt>
                <c:pt idx="299">
                  <c:v>20000</c:v>
                </c:pt>
                <c:pt idx="300">
                  <c:v>20000</c:v>
                </c:pt>
                <c:pt idx="301">
                  <c:v>20000</c:v>
                </c:pt>
                <c:pt idx="302">
                  <c:v>20000</c:v>
                </c:pt>
                <c:pt idx="303">
                  <c:v>20000</c:v>
                </c:pt>
                <c:pt idx="304">
                  <c:v>20000</c:v>
                </c:pt>
                <c:pt idx="305">
                  <c:v>20000</c:v>
                </c:pt>
                <c:pt idx="306">
                  <c:v>20000</c:v>
                </c:pt>
                <c:pt idx="307">
                  <c:v>20000</c:v>
                </c:pt>
                <c:pt idx="308">
                  <c:v>20000</c:v>
                </c:pt>
                <c:pt idx="309">
                  <c:v>20000</c:v>
                </c:pt>
                <c:pt idx="310">
                  <c:v>20000</c:v>
                </c:pt>
                <c:pt idx="311">
                  <c:v>20000</c:v>
                </c:pt>
                <c:pt idx="312">
                  <c:v>20000</c:v>
                </c:pt>
                <c:pt idx="313">
                  <c:v>20000</c:v>
                </c:pt>
                <c:pt idx="314">
                  <c:v>20000</c:v>
                </c:pt>
                <c:pt idx="315">
                  <c:v>20000</c:v>
                </c:pt>
                <c:pt idx="316">
                  <c:v>20000</c:v>
                </c:pt>
                <c:pt idx="317">
                  <c:v>20000</c:v>
                </c:pt>
                <c:pt idx="318">
                  <c:v>20000</c:v>
                </c:pt>
                <c:pt idx="319">
                  <c:v>20000</c:v>
                </c:pt>
                <c:pt idx="320">
                  <c:v>20000</c:v>
                </c:pt>
                <c:pt idx="321">
                  <c:v>20000</c:v>
                </c:pt>
                <c:pt idx="322">
                  <c:v>20000</c:v>
                </c:pt>
                <c:pt idx="323">
                  <c:v>20000</c:v>
                </c:pt>
                <c:pt idx="324">
                  <c:v>20000</c:v>
                </c:pt>
                <c:pt idx="325">
                  <c:v>20000</c:v>
                </c:pt>
                <c:pt idx="326">
                  <c:v>20000</c:v>
                </c:pt>
                <c:pt idx="327">
                  <c:v>20000</c:v>
                </c:pt>
                <c:pt idx="328">
                  <c:v>20000</c:v>
                </c:pt>
                <c:pt idx="329">
                  <c:v>20000</c:v>
                </c:pt>
                <c:pt idx="330">
                  <c:v>20000</c:v>
                </c:pt>
                <c:pt idx="331">
                  <c:v>20000</c:v>
                </c:pt>
                <c:pt idx="332">
                  <c:v>20000</c:v>
                </c:pt>
                <c:pt idx="333">
                  <c:v>20000</c:v>
                </c:pt>
                <c:pt idx="334">
                  <c:v>20000</c:v>
                </c:pt>
                <c:pt idx="335">
                  <c:v>20000</c:v>
                </c:pt>
                <c:pt idx="336">
                  <c:v>20000</c:v>
                </c:pt>
                <c:pt idx="337">
                  <c:v>20000</c:v>
                </c:pt>
                <c:pt idx="338">
                  <c:v>20000</c:v>
                </c:pt>
                <c:pt idx="339">
                  <c:v>20000</c:v>
                </c:pt>
                <c:pt idx="340">
                  <c:v>20000</c:v>
                </c:pt>
                <c:pt idx="341">
                  <c:v>20000</c:v>
                </c:pt>
                <c:pt idx="342">
                  <c:v>20000</c:v>
                </c:pt>
                <c:pt idx="343">
                  <c:v>20000</c:v>
                </c:pt>
                <c:pt idx="344">
                  <c:v>20000</c:v>
                </c:pt>
                <c:pt idx="345">
                  <c:v>20000</c:v>
                </c:pt>
                <c:pt idx="346">
                  <c:v>20000</c:v>
                </c:pt>
                <c:pt idx="347">
                  <c:v>20000</c:v>
                </c:pt>
                <c:pt idx="348">
                  <c:v>20000</c:v>
                </c:pt>
                <c:pt idx="349">
                  <c:v>20000</c:v>
                </c:pt>
                <c:pt idx="350">
                  <c:v>20000</c:v>
                </c:pt>
                <c:pt idx="351">
                  <c:v>20000</c:v>
                </c:pt>
                <c:pt idx="352">
                  <c:v>20000</c:v>
                </c:pt>
                <c:pt idx="353">
                  <c:v>20000</c:v>
                </c:pt>
                <c:pt idx="354">
                  <c:v>20000</c:v>
                </c:pt>
                <c:pt idx="355">
                  <c:v>20000</c:v>
                </c:pt>
                <c:pt idx="356">
                  <c:v>20000</c:v>
                </c:pt>
                <c:pt idx="357">
                  <c:v>20000</c:v>
                </c:pt>
                <c:pt idx="358">
                  <c:v>20000</c:v>
                </c:pt>
                <c:pt idx="359">
                  <c:v>20000</c:v>
                </c:pt>
                <c:pt idx="360">
                  <c:v>20000</c:v>
                </c:pt>
                <c:pt idx="361">
                  <c:v>20000</c:v>
                </c:pt>
                <c:pt idx="362">
                  <c:v>20000</c:v>
                </c:pt>
                <c:pt idx="363">
                  <c:v>20000</c:v>
                </c:pt>
                <c:pt idx="364">
                  <c:v>20000</c:v>
                </c:pt>
                <c:pt idx="365">
                  <c:v>20000</c:v>
                </c:pt>
                <c:pt idx="366">
                  <c:v>20000</c:v>
                </c:pt>
                <c:pt idx="367">
                  <c:v>20000</c:v>
                </c:pt>
                <c:pt idx="368">
                  <c:v>20000</c:v>
                </c:pt>
                <c:pt idx="369">
                  <c:v>20000</c:v>
                </c:pt>
                <c:pt idx="370">
                  <c:v>20000</c:v>
                </c:pt>
                <c:pt idx="371">
                  <c:v>20000</c:v>
                </c:pt>
                <c:pt idx="372">
                  <c:v>20000</c:v>
                </c:pt>
                <c:pt idx="373">
                  <c:v>20000</c:v>
                </c:pt>
                <c:pt idx="374">
                  <c:v>20000</c:v>
                </c:pt>
                <c:pt idx="375">
                  <c:v>20000</c:v>
                </c:pt>
                <c:pt idx="376">
                  <c:v>20000</c:v>
                </c:pt>
                <c:pt idx="377">
                  <c:v>20000</c:v>
                </c:pt>
                <c:pt idx="378">
                  <c:v>20000</c:v>
                </c:pt>
                <c:pt idx="379">
                  <c:v>20000</c:v>
                </c:pt>
                <c:pt idx="380">
                  <c:v>20000</c:v>
                </c:pt>
                <c:pt idx="381">
                  <c:v>20000</c:v>
                </c:pt>
                <c:pt idx="382">
                  <c:v>20000</c:v>
                </c:pt>
                <c:pt idx="383">
                  <c:v>20000</c:v>
                </c:pt>
                <c:pt idx="384">
                  <c:v>20000</c:v>
                </c:pt>
                <c:pt idx="385">
                  <c:v>20000</c:v>
                </c:pt>
                <c:pt idx="386">
                  <c:v>20000</c:v>
                </c:pt>
                <c:pt idx="387">
                  <c:v>20000</c:v>
                </c:pt>
                <c:pt idx="388">
                  <c:v>20000</c:v>
                </c:pt>
                <c:pt idx="389">
                  <c:v>20000</c:v>
                </c:pt>
                <c:pt idx="390">
                  <c:v>20000</c:v>
                </c:pt>
                <c:pt idx="391">
                  <c:v>20000</c:v>
                </c:pt>
                <c:pt idx="392">
                  <c:v>20000</c:v>
                </c:pt>
                <c:pt idx="393">
                  <c:v>20000</c:v>
                </c:pt>
                <c:pt idx="394">
                  <c:v>20000</c:v>
                </c:pt>
                <c:pt idx="395">
                  <c:v>20000</c:v>
                </c:pt>
                <c:pt idx="396">
                  <c:v>20000</c:v>
                </c:pt>
                <c:pt idx="397">
                  <c:v>20000</c:v>
                </c:pt>
                <c:pt idx="398">
                  <c:v>20000</c:v>
                </c:pt>
                <c:pt idx="399">
                  <c:v>20000</c:v>
                </c:pt>
                <c:pt idx="400">
                  <c:v>20000</c:v>
                </c:pt>
                <c:pt idx="401">
                  <c:v>20000</c:v>
                </c:pt>
                <c:pt idx="402">
                  <c:v>20000</c:v>
                </c:pt>
                <c:pt idx="403">
                  <c:v>20000</c:v>
                </c:pt>
                <c:pt idx="404">
                  <c:v>20000</c:v>
                </c:pt>
                <c:pt idx="405">
                  <c:v>20000</c:v>
                </c:pt>
                <c:pt idx="406">
                  <c:v>20000</c:v>
                </c:pt>
                <c:pt idx="407">
                  <c:v>20000</c:v>
                </c:pt>
                <c:pt idx="408">
                  <c:v>20000</c:v>
                </c:pt>
                <c:pt idx="409">
                  <c:v>20000</c:v>
                </c:pt>
                <c:pt idx="410">
                  <c:v>20000</c:v>
                </c:pt>
                <c:pt idx="411">
                  <c:v>20000</c:v>
                </c:pt>
                <c:pt idx="412">
                  <c:v>20000</c:v>
                </c:pt>
                <c:pt idx="413">
                  <c:v>20000</c:v>
                </c:pt>
                <c:pt idx="414">
                  <c:v>20000</c:v>
                </c:pt>
                <c:pt idx="415">
                  <c:v>20000</c:v>
                </c:pt>
                <c:pt idx="416">
                  <c:v>20000</c:v>
                </c:pt>
                <c:pt idx="417">
                  <c:v>20000</c:v>
                </c:pt>
                <c:pt idx="418">
                  <c:v>20000</c:v>
                </c:pt>
                <c:pt idx="419">
                  <c:v>20000</c:v>
                </c:pt>
                <c:pt idx="420">
                  <c:v>20000</c:v>
                </c:pt>
                <c:pt idx="421">
                  <c:v>20000</c:v>
                </c:pt>
                <c:pt idx="422">
                  <c:v>20000</c:v>
                </c:pt>
                <c:pt idx="423">
                  <c:v>20000</c:v>
                </c:pt>
                <c:pt idx="424">
                  <c:v>20000</c:v>
                </c:pt>
                <c:pt idx="425">
                  <c:v>20000</c:v>
                </c:pt>
                <c:pt idx="426">
                  <c:v>20000</c:v>
                </c:pt>
                <c:pt idx="427">
                  <c:v>20000</c:v>
                </c:pt>
                <c:pt idx="428">
                  <c:v>20000</c:v>
                </c:pt>
                <c:pt idx="429">
                  <c:v>20000</c:v>
                </c:pt>
                <c:pt idx="430">
                  <c:v>20000</c:v>
                </c:pt>
                <c:pt idx="431">
                  <c:v>20000</c:v>
                </c:pt>
                <c:pt idx="432">
                  <c:v>20000</c:v>
                </c:pt>
                <c:pt idx="433">
                  <c:v>20000</c:v>
                </c:pt>
                <c:pt idx="434">
                  <c:v>20000</c:v>
                </c:pt>
                <c:pt idx="435">
                  <c:v>20000</c:v>
                </c:pt>
                <c:pt idx="436">
                  <c:v>20000</c:v>
                </c:pt>
                <c:pt idx="437">
                  <c:v>20000</c:v>
                </c:pt>
                <c:pt idx="438">
                  <c:v>20000</c:v>
                </c:pt>
                <c:pt idx="439">
                  <c:v>20000</c:v>
                </c:pt>
                <c:pt idx="440">
                  <c:v>20000</c:v>
                </c:pt>
                <c:pt idx="441">
                  <c:v>20000</c:v>
                </c:pt>
                <c:pt idx="442">
                  <c:v>20000</c:v>
                </c:pt>
                <c:pt idx="443">
                  <c:v>20000</c:v>
                </c:pt>
                <c:pt idx="444">
                  <c:v>20000</c:v>
                </c:pt>
                <c:pt idx="445">
                  <c:v>20000</c:v>
                </c:pt>
                <c:pt idx="446">
                  <c:v>20000</c:v>
                </c:pt>
                <c:pt idx="447">
                  <c:v>20000</c:v>
                </c:pt>
                <c:pt idx="448">
                  <c:v>20000</c:v>
                </c:pt>
                <c:pt idx="449">
                  <c:v>20000</c:v>
                </c:pt>
                <c:pt idx="450">
                  <c:v>20000</c:v>
                </c:pt>
                <c:pt idx="451">
                  <c:v>20000</c:v>
                </c:pt>
                <c:pt idx="452">
                  <c:v>20000</c:v>
                </c:pt>
                <c:pt idx="453">
                  <c:v>20000</c:v>
                </c:pt>
                <c:pt idx="454">
                  <c:v>20000</c:v>
                </c:pt>
                <c:pt idx="455">
                  <c:v>20000</c:v>
                </c:pt>
                <c:pt idx="456">
                  <c:v>20000</c:v>
                </c:pt>
                <c:pt idx="457">
                  <c:v>20000</c:v>
                </c:pt>
                <c:pt idx="458">
                  <c:v>20000</c:v>
                </c:pt>
                <c:pt idx="459">
                  <c:v>20000</c:v>
                </c:pt>
                <c:pt idx="460">
                  <c:v>20000</c:v>
                </c:pt>
                <c:pt idx="461">
                  <c:v>20000</c:v>
                </c:pt>
                <c:pt idx="462">
                  <c:v>20000</c:v>
                </c:pt>
                <c:pt idx="463">
                  <c:v>20000</c:v>
                </c:pt>
                <c:pt idx="464">
                  <c:v>20000</c:v>
                </c:pt>
                <c:pt idx="465">
                  <c:v>20000</c:v>
                </c:pt>
                <c:pt idx="466">
                  <c:v>20000</c:v>
                </c:pt>
                <c:pt idx="467">
                  <c:v>20000</c:v>
                </c:pt>
                <c:pt idx="468">
                  <c:v>20000</c:v>
                </c:pt>
                <c:pt idx="469">
                  <c:v>20000</c:v>
                </c:pt>
                <c:pt idx="470">
                  <c:v>20000</c:v>
                </c:pt>
                <c:pt idx="471">
                  <c:v>20000</c:v>
                </c:pt>
                <c:pt idx="472">
                  <c:v>20000</c:v>
                </c:pt>
                <c:pt idx="473">
                  <c:v>20000</c:v>
                </c:pt>
                <c:pt idx="474">
                  <c:v>20000</c:v>
                </c:pt>
                <c:pt idx="475">
                  <c:v>20000</c:v>
                </c:pt>
                <c:pt idx="476">
                  <c:v>20000</c:v>
                </c:pt>
                <c:pt idx="477">
                  <c:v>20000</c:v>
                </c:pt>
                <c:pt idx="478">
                  <c:v>20000</c:v>
                </c:pt>
                <c:pt idx="479">
                  <c:v>20000</c:v>
                </c:pt>
                <c:pt idx="480">
                  <c:v>20000</c:v>
                </c:pt>
                <c:pt idx="481">
                  <c:v>20000</c:v>
                </c:pt>
                <c:pt idx="482">
                  <c:v>20000</c:v>
                </c:pt>
                <c:pt idx="483">
                  <c:v>20000</c:v>
                </c:pt>
                <c:pt idx="484">
                  <c:v>20000</c:v>
                </c:pt>
                <c:pt idx="485">
                  <c:v>20000</c:v>
                </c:pt>
                <c:pt idx="486">
                  <c:v>20000</c:v>
                </c:pt>
                <c:pt idx="487">
                  <c:v>20000</c:v>
                </c:pt>
                <c:pt idx="488">
                  <c:v>20000</c:v>
                </c:pt>
                <c:pt idx="489">
                  <c:v>20000</c:v>
                </c:pt>
                <c:pt idx="490">
                  <c:v>20000</c:v>
                </c:pt>
                <c:pt idx="491">
                  <c:v>20000</c:v>
                </c:pt>
                <c:pt idx="492">
                  <c:v>20000</c:v>
                </c:pt>
                <c:pt idx="493">
                  <c:v>20000</c:v>
                </c:pt>
                <c:pt idx="494">
                  <c:v>20000</c:v>
                </c:pt>
                <c:pt idx="495">
                  <c:v>20000</c:v>
                </c:pt>
                <c:pt idx="496">
                  <c:v>20000</c:v>
                </c:pt>
                <c:pt idx="497">
                  <c:v>20000</c:v>
                </c:pt>
                <c:pt idx="498">
                  <c:v>20000</c:v>
                </c:pt>
                <c:pt idx="499">
                  <c:v>20000</c:v>
                </c:pt>
                <c:pt idx="500">
                  <c:v>20000</c:v>
                </c:pt>
              </c:numCache>
            </c:numRef>
          </c:val>
          <c:smooth val="1"/>
        </c:ser>
        <c:hiLowLines>
          <c:spPr>
            <a:ln w="0">
              <a:noFill/>
            </a:ln>
          </c:spPr>
        </c:hiLowLines>
        <c:marker val="0"/>
        <c:axId val="98475344"/>
        <c:axId val="53263319"/>
      </c:lineChart>
      <c:catAx>
        <c:axId val="9847534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Closed trade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263319"/>
        <c:crosses val="autoZero"/>
        <c:auto val="1"/>
        <c:lblAlgn val="ctr"/>
        <c:lblOffset val="100"/>
        <c:noMultiLvlLbl val="0"/>
      </c:catAx>
      <c:valAx>
        <c:axId val="5326331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Equity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47534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P/L by exit month</a:t>
            </a:r>
          </a:p>
        </c:rich>
      </c:tx>
      <c:overlay val="0"/>
      <c:spPr>
        <a:noFill/>
        <a:ln w="0">
          <a:noFill/>
        </a:ln>
      </c:spPr>
    </c:title>
    <c:autoTitleDeleted val="0"/>
    <c:plotArea>
      <c:barChart>
        <c:barDir val="col"/>
        <c:grouping val="clustered"/>
        <c:varyColors val="0"/>
        <c:ser>
          <c:idx val="0"/>
          <c:order val="0"/>
          <c:tx>
            <c:strRef>
              <c:f>Summary!H20</c:f>
              <c:strCache>
                <c:ptCount val="1"/>
                <c:pt idx="0">
                  <c:v>Net P/L</c:v>
                </c:pt>
              </c:strCache>
            </c:strRef>
          </c:tx>
          <c:spPr>
            <a:solidFill>
              <a:srgbClr val="4847c1"/>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Summary!$D$21:$D$44</c:f>
              <c:strCache>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Cache>
            </c:strRef>
          </c:cat>
          <c:val>
            <c:numRef>
              <c:f>Summary!$H$21:$H$44</c:f>
              <c:numCache>
                <c:formatCode>General</c:formatCode>
                <c:ptCount val="24"/>
              </c:numCache>
            </c:numRef>
          </c:val>
        </c:ser>
        <c:gapWidth val="150"/>
        <c:overlap val="0"/>
        <c:axId val="21090711"/>
        <c:axId val="10509498"/>
      </c:barChart>
      <c:catAx>
        <c:axId val="21090711"/>
        <c:scaling>
          <c:orientation val="minMax"/>
        </c:scaling>
        <c:delete val="0"/>
        <c:axPos val="b"/>
        <c:numFmt formatCode="mmm\ yy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509498"/>
        <c:crosses val="autoZero"/>
        <c:auto val="1"/>
        <c:lblAlgn val="ctr"/>
        <c:lblOffset val="100"/>
        <c:noMultiLvlLbl val="0"/>
      </c:catAx>
      <c:valAx>
        <c:axId val="1050949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09071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Equity curve (closed trades)</a:t>
            </a:r>
          </a:p>
        </c:rich>
      </c:tx>
      <c:overlay val="0"/>
      <c:spPr>
        <a:noFill/>
        <a:ln w="0">
          <a:noFill/>
        </a:ln>
      </c:spPr>
    </c:title>
    <c:autoTitleDeleted val="0"/>
    <c:plotArea>
      <c:lineChart>
        <c:grouping val="standard"/>
        <c:varyColors val="0"/>
        <c:ser>
          <c:idx val="0"/>
          <c:order val="0"/>
          <c:tx>
            <c:strRef>
              <c:f>'Example Summary'!Q4</c:f>
              <c:strCache>
                <c:ptCount val="1"/>
                <c:pt idx="0">
                  <c:v>Equity</c:v>
                </c:pt>
              </c:strCache>
            </c:strRef>
          </c:tx>
          <c:spPr>
            <a:solidFill>
              <a:srgbClr val="4847c1"/>
            </a:solidFill>
            <a:ln w="28080">
              <a:solidFill>
                <a:srgbClr val="4847c1"/>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 Summary'!$L$5:$L$28</c:f>
              <c:strCach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strCache>
            </c:strRef>
          </c:cat>
          <c:val>
            <c:numRef>
              <c:f>'Example Summary'!$Q$5:$Q$28</c:f>
              <c:numCache>
                <c:formatCode>\$#,##0.00;[RED]"-$"#,##0.00</c:formatCode>
                <c:ptCount val="24"/>
                <c:pt idx="0">
                  <c:v>20000</c:v>
                </c:pt>
                <c:pt idx="1">
                  <c:v>19788</c:v>
                </c:pt>
                <c:pt idx="2">
                  <c:v>20146</c:v>
                </c:pt>
                <c:pt idx="3">
                  <c:v>20504</c:v>
                </c:pt>
                <c:pt idx="4">
                  <c:v>20292</c:v>
                </c:pt>
                <c:pt idx="5">
                  <c:v>19702</c:v>
                </c:pt>
                <c:pt idx="6">
                  <c:v>20083.5</c:v>
                </c:pt>
                <c:pt idx="7">
                  <c:v>20241.5</c:v>
                </c:pt>
                <c:pt idx="8">
                  <c:v>20464.5</c:v>
                </c:pt>
                <c:pt idx="9">
                  <c:v>20612.5</c:v>
                </c:pt>
                <c:pt idx="10">
                  <c:v>20400.5</c:v>
                </c:pt>
                <c:pt idx="11">
                  <c:v>20783</c:v>
                </c:pt>
                <c:pt idx="12">
                  <c:v>20573</c:v>
                </c:pt>
                <c:pt idx="13">
                  <c:v>20936</c:v>
                </c:pt>
                <c:pt idx="14">
                  <c:v>21284</c:v>
                </c:pt>
                <c:pt idx="15">
                  <c:v>21332</c:v>
                </c:pt>
                <c:pt idx="16">
                  <c:v>21120</c:v>
                </c:pt>
                <c:pt idx="17">
                  <c:v>21338</c:v>
                </c:pt>
                <c:pt idx="18">
                  <c:v>21126</c:v>
                </c:pt>
                <c:pt idx="19">
                  <c:v>21554</c:v>
                </c:pt>
                <c:pt idx="20">
                  <c:v>21707</c:v>
                </c:pt>
                <c:pt idx="21">
                  <c:v>21889</c:v>
                </c:pt>
                <c:pt idx="22">
                  <c:v>21672</c:v>
                </c:pt>
                <c:pt idx="23">
                  <c:v>22057.5</c:v>
                </c:pt>
              </c:numCache>
            </c:numRef>
          </c:val>
          <c:smooth val="1"/>
        </c:ser>
        <c:hiLowLines>
          <c:spPr>
            <a:ln w="0">
              <a:noFill/>
            </a:ln>
          </c:spPr>
        </c:hiLowLines>
        <c:marker val="0"/>
        <c:axId val="90835039"/>
        <c:axId val="37444198"/>
      </c:lineChart>
      <c:catAx>
        <c:axId val="9083503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Closed trade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7444198"/>
        <c:crosses val="autoZero"/>
        <c:auto val="1"/>
        <c:lblAlgn val="ctr"/>
        <c:lblOffset val="100"/>
        <c:noMultiLvlLbl val="0"/>
      </c:catAx>
      <c:valAx>
        <c:axId val="3744419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Equity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83503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P/L by exit month</a:t>
            </a:r>
          </a:p>
        </c:rich>
      </c:tx>
      <c:overlay val="0"/>
      <c:spPr>
        <a:noFill/>
        <a:ln w="0">
          <a:noFill/>
        </a:ln>
      </c:spPr>
    </c:title>
    <c:autoTitleDeleted val="0"/>
    <c:plotArea>
      <c:barChart>
        <c:barDir val="col"/>
        <c:grouping val="clustered"/>
        <c:varyColors val="0"/>
        <c:ser>
          <c:idx val="0"/>
          <c:order val="0"/>
          <c:tx>
            <c:strRef>
              <c:f>'Example Summary'!H20</c:f>
              <c:strCache>
                <c:ptCount val="1"/>
                <c:pt idx="0">
                  <c:v>Net P/L</c:v>
                </c:pt>
              </c:strCache>
            </c:strRef>
          </c:tx>
          <c:spPr>
            <a:solidFill>
              <a:srgbClr val="4847c1"/>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 Summary'!$D$21:$D$24</c:f>
              <c:strCache>
                <c:ptCount val="4"/>
                <c:pt idx="0">
                  <c:v>Jul 2026</c:v>
                </c:pt>
                <c:pt idx="1">
                  <c:v>Aug 2026</c:v>
                </c:pt>
                <c:pt idx="2">
                  <c:v>Sep 2026</c:v>
                </c:pt>
                <c:pt idx="3">
                  <c:v>Oct 2026</c:v>
                </c:pt>
              </c:strCache>
            </c:strRef>
          </c:cat>
          <c:val>
            <c:numRef>
              <c:f>'Example Summary'!$H$21:$H$24</c:f>
              <c:numCache>
                <c:formatCode>\$#,##0.00;[RED]"-$"#,##0.00</c:formatCode>
                <c:ptCount val="4"/>
                <c:pt idx="0">
                  <c:v>83.5000000000003</c:v>
                </c:pt>
                <c:pt idx="1">
                  <c:v>852.500000000001</c:v>
                </c:pt>
                <c:pt idx="2">
                  <c:v>190</c:v>
                </c:pt>
                <c:pt idx="3">
                  <c:v>931.5</c:v>
                </c:pt>
              </c:numCache>
            </c:numRef>
          </c:val>
        </c:ser>
        <c:gapWidth val="150"/>
        <c:overlap val="0"/>
        <c:axId val="56191731"/>
        <c:axId val="25421804"/>
      </c:barChart>
      <c:catAx>
        <c:axId val="56191731"/>
        <c:scaling>
          <c:orientation val="minMax"/>
        </c:scaling>
        <c:delete val="0"/>
        <c:axPos val="b"/>
        <c:numFmt formatCode="mmm\ yy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421804"/>
        <c:crosses val="autoZero"/>
        <c:auto val="1"/>
        <c:lblAlgn val="ctr"/>
        <c:lblOffset val="100"/>
        <c:noMultiLvlLbl val="0"/>
      </c:catAx>
      <c:valAx>
        <c:axId val="2542180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19173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45</xdr:row>
      <xdr:rowOff>131040</xdr:rowOff>
    </xdr:from>
    <xdr:to>
      <xdr:col>10</xdr:col>
      <xdr:colOff>402480</xdr:colOff>
      <xdr:row>60</xdr:row>
      <xdr:rowOff>153000</xdr:rowOff>
    </xdr:to>
    <xdr:graphicFrame>
      <xdr:nvGraphicFramePr>
        <xdr:cNvPr id="0" name="Chart 1"/>
        <xdr:cNvGraphicFramePr/>
      </xdr:nvGraphicFramePr>
      <xdr:xfrm>
        <a:off x="4417560" y="876312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0</xdr:colOff>
      <xdr:row>62</xdr:row>
      <xdr:rowOff>131040</xdr:rowOff>
    </xdr:from>
    <xdr:to>
      <xdr:col>10</xdr:col>
      <xdr:colOff>402480</xdr:colOff>
      <xdr:row>77</xdr:row>
      <xdr:rowOff>153000</xdr:rowOff>
    </xdr:to>
    <xdr:graphicFrame>
      <xdr:nvGraphicFramePr>
        <xdr:cNvPr id="1" name="Chart 2"/>
        <xdr:cNvGraphicFramePr/>
      </xdr:nvGraphicFramePr>
      <xdr:xfrm>
        <a:off x="4417560" y="12001680"/>
        <a:ext cx="575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45</xdr:row>
      <xdr:rowOff>131040</xdr:rowOff>
    </xdr:from>
    <xdr:to>
      <xdr:col>10</xdr:col>
      <xdr:colOff>402480</xdr:colOff>
      <xdr:row>60</xdr:row>
      <xdr:rowOff>153000</xdr:rowOff>
    </xdr:to>
    <xdr:graphicFrame>
      <xdr:nvGraphicFramePr>
        <xdr:cNvPr id="2" name="Chart 1"/>
        <xdr:cNvGraphicFramePr/>
      </xdr:nvGraphicFramePr>
      <xdr:xfrm>
        <a:off x="4417560" y="876312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0</xdr:colOff>
      <xdr:row>62</xdr:row>
      <xdr:rowOff>131040</xdr:rowOff>
    </xdr:from>
    <xdr:to>
      <xdr:col>10</xdr:col>
      <xdr:colOff>402480</xdr:colOff>
      <xdr:row>77</xdr:row>
      <xdr:rowOff>153000</xdr:rowOff>
    </xdr:to>
    <xdr:graphicFrame>
      <xdr:nvGraphicFramePr>
        <xdr:cNvPr id="3" name="Chart 2"/>
        <xdr:cNvGraphicFramePr/>
      </xdr:nvGraphicFramePr>
      <xdr:xfrm>
        <a:off x="4417560" y="12001680"/>
        <a:ext cx="575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19.7" hidden="false" customHeight="false" outlineLevel="0" collapsed="false">
      <c r="B1" s="1" t="s">
        <v>0</v>
      </c>
    </row>
    <row r="2" customFormat="false" ht="28.35" hidden="false" customHeight="false" outlineLevel="0" collapsed="false">
      <c r="B2" s="2" t="s">
        <v>1</v>
      </c>
    </row>
    <row r="3" customFormat="false" ht="15" hidden="false" customHeight="false" outlineLevel="0" collapsed="false">
      <c r="B3" s="2"/>
    </row>
    <row r="4" customFormat="false" ht="15" hidden="false" customHeight="false" outlineLevel="0" collapsed="false">
      <c r="B4" s="3" t="s">
        <v>2</v>
      </c>
    </row>
    <row r="5" customFormat="false" ht="41.75" hidden="false" customHeight="false" outlineLevel="0" collapsed="false">
      <c r="B5" s="2" t="s">
        <v>3</v>
      </c>
    </row>
    <row r="6" customFormat="false" ht="15" hidden="false" customHeight="false" outlineLevel="0" collapsed="false">
      <c r="B6" s="2"/>
    </row>
    <row r="7" customFormat="false" ht="15" hidden="false" customHeight="false" outlineLevel="0" collapsed="false">
      <c r="B7" s="3" t="s">
        <v>4</v>
      </c>
    </row>
    <row r="8" customFormat="false" ht="15" hidden="false" customHeight="false" outlineLevel="0" collapsed="false">
      <c r="B8" s="2" t="s">
        <v>5</v>
      </c>
    </row>
    <row r="9" customFormat="false" ht="28.35" hidden="false" customHeight="false" outlineLevel="0" collapsed="false">
      <c r="B9" s="2" t="s">
        <v>6</v>
      </c>
    </row>
    <row r="10" customFormat="false" ht="15" hidden="false" customHeight="false" outlineLevel="0" collapsed="false">
      <c r="B10" s="2" t="s">
        <v>7</v>
      </c>
    </row>
    <row r="11" customFormat="false" ht="28.35" hidden="false" customHeight="false" outlineLevel="0" collapsed="false">
      <c r="B11" s="2" t="s">
        <v>8</v>
      </c>
    </row>
    <row r="12" customFormat="false" ht="15" hidden="false" customHeight="false" outlineLevel="0" collapsed="false">
      <c r="B12" s="2" t="s">
        <v>9</v>
      </c>
    </row>
    <row r="13" customFormat="false" ht="15" hidden="false" customHeight="false" outlineLevel="0" collapsed="false">
      <c r="B13" s="2" t="s">
        <v>10</v>
      </c>
    </row>
    <row r="14" customFormat="false" ht="15" hidden="false" customHeight="false" outlineLevel="0" collapsed="false">
      <c r="B14" s="2"/>
    </row>
    <row r="15" customFormat="false" ht="15" hidden="false" customHeight="false" outlineLevel="0" collapsed="false">
      <c r="B15" s="3" t="s">
        <v>11</v>
      </c>
    </row>
    <row r="16" customFormat="false" ht="15" hidden="false" customHeight="false" outlineLevel="0" collapsed="false">
      <c r="B16" s="2" t="s">
        <v>12</v>
      </c>
    </row>
    <row r="17" customFormat="false" ht="28.35" hidden="false" customHeight="false" outlineLevel="0" collapsed="false">
      <c r="B17" s="2" t="s">
        <v>13</v>
      </c>
    </row>
    <row r="18" customFormat="false" ht="28.35" hidden="false" customHeight="false" outlineLevel="0" collapsed="false">
      <c r="B18" s="2" t="s">
        <v>14</v>
      </c>
    </row>
    <row r="19" customFormat="false" ht="15" hidden="false" customHeight="false" outlineLevel="0" collapsed="false">
      <c r="B19" s="2" t="s">
        <v>15</v>
      </c>
    </row>
    <row r="20" customFormat="false" ht="15" hidden="false" customHeight="false" outlineLevel="0" collapsed="false">
      <c r="B20" s="2" t="s">
        <v>16</v>
      </c>
    </row>
    <row r="21" customFormat="false" ht="15" hidden="false" customHeight="false" outlineLevel="0" collapsed="false">
      <c r="B21" s="2"/>
    </row>
    <row r="22" customFormat="false" ht="15" hidden="false" customHeight="false" outlineLevel="0" collapsed="false">
      <c r="B22" s="3" t="s">
        <v>17</v>
      </c>
    </row>
    <row r="23" customFormat="false" ht="41.75" hidden="false" customHeight="false" outlineLevel="0" collapsed="false">
      <c r="B23" s="2" t="s">
        <v>18</v>
      </c>
    </row>
    <row r="24" customFormat="false" ht="15" hidden="false" customHeight="false" outlineLevel="0" collapsed="false">
      <c r="B24" s="2"/>
    </row>
    <row r="25" customFormat="false" ht="15" hidden="false" customHeight="false" outlineLevel="0" collapsed="false">
      <c r="B25" s="3" t="s">
        <v>19</v>
      </c>
    </row>
    <row r="26" customFormat="false" ht="15" hidden="false" customHeight="false" outlineLevel="0" collapsed="false">
      <c r="B26" s="2" t="s">
        <v>20</v>
      </c>
    </row>
    <row r="27" customFormat="false" ht="15" hidden="false" customHeight="false" outlineLevel="0" collapsed="false">
      <c r="B27" s="2"/>
    </row>
    <row r="28" customFormat="false" ht="15" hidden="false" customHeight="false" outlineLevel="0" collapsed="false">
      <c r="B28" s="3" t="s">
        <v>21</v>
      </c>
    </row>
    <row r="29" customFormat="false" ht="41.75" hidden="false" customHeight="false" outlineLevel="0" collapsed="false">
      <c r="B29" s="2" t="s">
        <v>22</v>
      </c>
    </row>
    <row r="30" customFormat="false" ht="15" hidden="false" customHeight="false" outlineLevel="0" collapsed="false">
      <c r="B30" s="2"/>
    </row>
    <row r="31" customFormat="false" ht="15" hidden="false" customHeight="false" outlineLevel="0" collapsed="false">
      <c r="B31" s="3" t="s">
        <v>23</v>
      </c>
    </row>
    <row r="32" customFormat="false" ht="41.75" hidden="false" customHeight="false" outlineLevel="0" collapsed="false">
      <c r="B32" s="2" t="s">
        <v>24</v>
      </c>
    </row>
    <row r="33" customFormat="false" ht="15" hidden="false" customHeight="false" outlineLevel="0" collapsed="false">
      <c r="B33" s="2"/>
    </row>
    <row r="34" customFormat="false" ht="15" hidden="false" customHeight="false" outlineLevel="0" collapsed="false">
      <c r="B34" s="3" t="s">
        <v>25</v>
      </c>
    </row>
    <row r="35" customFormat="false" ht="28.35" hidden="false" customHeight="false" outlineLevel="0" collapsed="false">
      <c r="B35" s="2" t="s">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847C1"/>
    <pageSetUpPr fitToPage="false"/>
  </sheetPr>
  <dimension ref="A1:AI5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9"/>
    <col collapsed="false" customWidth="true" hidden="false" outlineLevel="0" max="3" min="3" style="0" width="17"/>
    <col collapsed="false" customWidth="true" hidden="false" outlineLevel="0" max="4" min="4" style="0" width="13"/>
    <col collapsed="false" customWidth="true" hidden="false" outlineLevel="0" max="6" min="5" style="0" width="12"/>
    <col collapsed="false" customWidth="true" hidden="false" outlineLevel="0" max="7" min="7" style="0" width="8"/>
    <col collapsed="false" customWidth="true" hidden="false" outlineLevel="0" max="10" min="8" style="0" width="10"/>
    <col collapsed="false" customWidth="true" hidden="false" outlineLevel="0" max="11" min="11" style="0" width="11"/>
    <col collapsed="false" customWidth="true" hidden="false" outlineLevel="0" max="12" min="12" style="0" width="9"/>
    <col collapsed="false" customWidth="true" hidden="false" outlineLevel="0" max="13" min="13" style="0" width="10"/>
    <col collapsed="false" customWidth="true" hidden="false" outlineLevel="0" max="14" min="14" style="0" width="9"/>
    <col collapsed="false" customWidth="true" hidden="false" outlineLevel="0" max="15" min="15" style="0" width="10"/>
    <col collapsed="false" customWidth="true" hidden="false" outlineLevel="0" max="16" min="16" style="0" width="12"/>
    <col collapsed="false" customWidth="true" hidden="false" outlineLevel="0" max="17" min="17" style="0" width="10"/>
    <col collapsed="false" customWidth="true" hidden="false" outlineLevel="0" max="18" min="18" style="0" width="9"/>
    <col collapsed="false" customWidth="true" hidden="false" outlineLevel="0" max="20" min="19" style="0" width="10"/>
    <col collapsed="false" customWidth="true" hidden="false" outlineLevel="0" max="21" min="21" style="0" width="12"/>
    <col collapsed="false" customWidth="true" hidden="false" outlineLevel="0" max="22" min="22" style="0" width="9"/>
    <col collapsed="false" customWidth="true" hidden="false" outlineLevel="0" max="25" min="23" style="0" width="10"/>
    <col collapsed="false" customWidth="true" hidden="false" outlineLevel="0" max="26" min="26" style="0" width="11"/>
    <col collapsed="false" customWidth="true" hidden="false" outlineLevel="0" max="28" min="27" style="0" width="10"/>
    <col collapsed="false" customWidth="true" hidden="false" outlineLevel="0" max="29" min="29" style="0" width="12"/>
    <col collapsed="false" customWidth="true" hidden="false" outlineLevel="0" max="32" min="30" style="0" width="9"/>
    <col collapsed="false" customWidth="true" hidden="false" outlineLevel="0" max="33" min="33" style="0" width="11"/>
    <col collapsed="false" customWidth="true" hidden="false" outlineLevel="0" max="34" min="34" style="0" width="10"/>
    <col collapsed="false" customWidth="true" hidden="false" outlineLevel="0" max="35" min="35" style="0" width="7"/>
  </cols>
  <sheetData>
    <row r="1" customFormat="false" ht="19.7" hidden="false" customHeight="false" outlineLevel="0" collapsed="false">
      <c r="A1" s="4" t="s">
        <v>27</v>
      </c>
    </row>
    <row r="2" customFormat="false" ht="15" hidden="false" customHeight="false" outlineLevel="0" collapsed="false">
      <c r="A2" s="5" t="s">
        <v>28</v>
      </c>
    </row>
    <row r="3" customFormat="false" ht="15" hidden="false" customHeight="false" outlineLevel="0" collapsed="false">
      <c r="A3" s="6" t="s">
        <v>29</v>
      </c>
      <c r="C3" s="7" t="n">
        <v>20000</v>
      </c>
      <c r="E3" s="6" t="s">
        <v>30</v>
      </c>
      <c r="G3" s="8" t="n">
        <f aca="false">N(C3)+SUM(AC7:AC506)</f>
        <v>20000</v>
      </c>
      <c r="H3" s="6" t="s">
        <v>31</v>
      </c>
      <c r="J3" s="9" t="n">
        <f aca="false">IF(N(G3)&lt;=0,"",G4/G3)</f>
        <v>0</v>
      </c>
    </row>
    <row r="4" customFormat="false" ht="15" hidden="false" customHeight="false" outlineLevel="0" collapsed="false">
      <c r="A4" s="6" t="s">
        <v>32</v>
      </c>
      <c r="C4" s="10" t="n">
        <v>0.06</v>
      </c>
      <c r="E4" s="6" t="s">
        <v>33</v>
      </c>
      <c r="G4" s="8" t="n">
        <f aca="false">SUM(AG7:AG506)</f>
        <v>0</v>
      </c>
      <c r="H4" s="6" t="s">
        <v>34</v>
      </c>
      <c r="J4" s="11" t="str">
        <f aca="false">IF(OR(N(C4)&lt;=0,J3=""),"",IF(J3&gt;C4,"Over limit","OK"))</f>
        <v>OK</v>
      </c>
    </row>
    <row r="6" customFormat="false" ht="48" hidden="false" customHeight="true" outlineLevel="0" collapsed="false">
      <c r="A6" s="12" t="s">
        <v>35</v>
      </c>
      <c r="B6" s="12" t="s">
        <v>36</v>
      </c>
      <c r="C6" s="12" t="s">
        <v>37</v>
      </c>
      <c r="D6" s="12" t="s">
        <v>38</v>
      </c>
      <c r="E6" s="12" t="s">
        <v>39</v>
      </c>
      <c r="F6" s="12" t="s">
        <v>40</v>
      </c>
      <c r="G6" s="12" t="s">
        <v>41</v>
      </c>
      <c r="H6" s="12" t="s">
        <v>42</v>
      </c>
      <c r="I6" s="12" t="s">
        <v>43</v>
      </c>
      <c r="J6" s="12" t="s">
        <v>44</v>
      </c>
      <c r="K6" s="12" t="s">
        <v>45</v>
      </c>
      <c r="L6" s="12" t="s">
        <v>46</v>
      </c>
      <c r="M6" s="12" t="s">
        <v>47</v>
      </c>
      <c r="N6" s="12" t="s">
        <v>48</v>
      </c>
      <c r="O6" s="12" t="s">
        <v>49</v>
      </c>
      <c r="P6" s="12" t="s">
        <v>50</v>
      </c>
      <c r="Q6" s="12" t="s">
        <v>51</v>
      </c>
      <c r="R6" s="12" t="s">
        <v>52</v>
      </c>
      <c r="S6" s="12" t="s">
        <v>53</v>
      </c>
      <c r="T6" s="12" t="s">
        <v>54</v>
      </c>
      <c r="U6" s="12" t="s">
        <v>55</v>
      </c>
      <c r="V6" s="12" t="s">
        <v>56</v>
      </c>
      <c r="W6" s="12" t="s">
        <v>57</v>
      </c>
      <c r="X6" s="12" t="s">
        <v>58</v>
      </c>
      <c r="Y6" s="12" t="s">
        <v>59</v>
      </c>
      <c r="Z6" s="12" t="s">
        <v>60</v>
      </c>
      <c r="AA6" s="12" t="s">
        <v>61</v>
      </c>
      <c r="AB6" s="12" t="s">
        <v>62</v>
      </c>
      <c r="AC6" s="12" t="s">
        <v>63</v>
      </c>
      <c r="AD6" s="12" t="s">
        <v>64</v>
      </c>
      <c r="AE6" s="12" t="s">
        <v>65</v>
      </c>
      <c r="AF6" s="12" t="s">
        <v>66</v>
      </c>
      <c r="AG6" s="12" t="s">
        <v>67</v>
      </c>
      <c r="AH6" s="12" t="s">
        <v>68</v>
      </c>
      <c r="AI6" s="12" t="s">
        <v>69</v>
      </c>
    </row>
    <row r="7" customFormat="false" ht="15" hidden="false" customHeight="false" outlineLevel="0" collapsed="false">
      <c r="A7" s="13"/>
      <c r="B7" s="14"/>
      <c r="C7" s="14"/>
      <c r="D7" s="14"/>
      <c r="E7" s="15"/>
      <c r="F7" s="15"/>
      <c r="G7" s="16"/>
      <c r="H7" s="17"/>
      <c r="I7" s="17"/>
      <c r="J7" s="17"/>
      <c r="K7" s="17"/>
      <c r="L7" s="16"/>
      <c r="M7" s="17"/>
      <c r="N7" s="16"/>
      <c r="O7" s="17"/>
      <c r="P7" s="15"/>
      <c r="Q7" s="17"/>
      <c r="R7" s="17"/>
      <c r="S7" s="17"/>
      <c r="T7" s="17"/>
      <c r="U7" s="18" t="str">
        <f aca="false">IF(A7="","",IF(N(G7)-N(L7)-N(N7)&lt;0,"Check shares",IF(AND(P7&lt;&gt;"",Q7&lt;&gt;""),"Closed","Open")))</f>
        <v/>
      </c>
      <c r="V7" s="19" t="str">
        <f aca="false">IF(OR(F7="",P7=""),"",NETWORKDAYS(F7,P7,Lists!$F$5:$F$40)-1)</f>
        <v/>
      </c>
      <c r="W7" s="18" t="str">
        <f aca="false">IF(V7="","",IF(V7=0,"Same day","Overnight"))</f>
        <v/>
      </c>
      <c r="X7" s="18" t="str">
        <f aca="false">IF(OR(E7="",F7=""),"",IF(AND(E7&gt;=F7,OR(P7="",E7&lt;=P7)),"Yes","No"))</f>
        <v/>
      </c>
      <c r="Y7" s="20" t="str">
        <f aca="false">IF(A7="","",N(G7)-N(L7)-N(N7))</f>
        <v/>
      </c>
      <c r="Z7" s="21" t="str">
        <f aca="false">IF(OR(G7="",H7="",I7=""),"",ABS(H7-I7)*G7)</f>
        <v/>
      </c>
      <c r="AA7" s="22" t="str">
        <f aca="false">IF(OR(J7="",N(Z7)=0),"",ABS(J7-H7)/ABS(H7-I7))</f>
        <v/>
      </c>
      <c r="AB7" s="23" t="str">
        <f aca="false">IF(U7&lt;&gt;"Closed","",(N(L7)*N(M7)+N(N7)*N(O7)+Y7*Q7)/G7)</f>
        <v/>
      </c>
      <c r="AC7" s="24" t="str">
        <f aca="false">IF(U7&lt;&gt;"Closed","",IF($B7="Short",-1,1)*((N(M7)-H7)*N(L7)+(N(O7)-H7)*N(N7)+(Q7-H7)*Y7)-N(R7))</f>
        <v/>
      </c>
      <c r="AD7" s="25" t="str">
        <f aca="false">IF(OR(AC7="",N(Z7)=0),"",AC7/Z7)</f>
        <v/>
      </c>
      <c r="AE7" s="25" t="str">
        <f aca="false">IF(OR(S7="",N(Z7)=0),"",IF($B7="Short",-1,1)*(S7-H7)*G7/Z7)</f>
        <v/>
      </c>
      <c r="AF7" s="25" t="str">
        <f aca="false">IF(OR(T7="",N(Z7)=0),"",IF($B7="Short",-1,1)*(T7-H7)*G7/Z7)</f>
        <v/>
      </c>
      <c r="AG7" s="21" t="str">
        <f aca="false">IF(U7&lt;&gt;"Open","",Y7*MAX(0,IF($B7="Short",-1,1)*(H7-IF(K7="",I7,K7))))</f>
        <v/>
      </c>
      <c r="AH7" s="26" t="str">
        <f aca="false">IF(U7&lt;&gt;"Closed","",DATE(YEAR(P7),MONTH(P7),1))</f>
        <v/>
      </c>
      <c r="AI7" s="19" t="str">
        <f aca="false">IF(U7&lt;&gt;"Closed","",COUNTIFS($U$7:$U$506,"Closed",$P$7:$P$506,"&lt;"&amp;P7)+COUNTIFS($U$7:U7,"Closed",$P$7:P7,P7))</f>
        <v/>
      </c>
    </row>
    <row r="8" customFormat="false" ht="15" hidden="false" customHeight="false" outlineLevel="0" collapsed="false">
      <c r="A8" s="13"/>
      <c r="B8" s="14"/>
      <c r="C8" s="14"/>
      <c r="D8" s="14"/>
      <c r="E8" s="15"/>
      <c r="F8" s="15"/>
      <c r="G8" s="16"/>
      <c r="H8" s="17"/>
      <c r="I8" s="17"/>
      <c r="J8" s="17"/>
      <c r="K8" s="17"/>
      <c r="L8" s="16"/>
      <c r="M8" s="17"/>
      <c r="N8" s="16"/>
      <c r="O8" s="17"/>
      <c r="P8" s="15"/>
      <c r="Q8" s="17"/>
      <c r="R8" s="17"/>
      <c r="S8" s="17"/>
      <c r="T8" s="17"/>
      <c r="U8" s="18" t="str">
        <f aca="false">IF(A8="","",IF(N(G8)-N(L8)-N(N8)&lt;0,"Check shares",IF(AND(P8&lt;&gt;"",Q8&lt;&gt;""),"Closed","Open")))</f>
        <v/>
      </c>
      <c r="V8" s="19" t="str">
        <f aca="false">IF(OR(F8="",P8=""),"",NETWORKDAYS(F8,P8,Lists!$F$5:$F$40)-1)</f>
        <v/>
      </c>
      <c r="W8" s="18" t="str">
        <f aca="false">IF(V8="","",IF(V8=0,"Same day","Overnight"))</f>
        <v/>
      </c>
      <c r="X8" s="18" t="str">
        <f aca="false">IF(OR(E8="",F8=""),"",IF(AND(E8&gt;=F8,OR(P8="",E8&lt;=P8)),"Yes","No"))</f>
        <v/>
      </c>
      <c r="Y8" s="20" t="str">
        <f aca="false">IF(A8="","",N(G8)-N(L8)-N(N8))</f>
        <v/>
      </c>
      <c r="Z8" s="21" t="str">
        <f aca="false">IF(OR(G8="",H8="",I8=""),"",ABS(H8-I8)*G8)</f>
        <v/>
      </c>
      <c r="AA8" s="22" t="str">
        <f aca="false">IF(OR(J8="",N(Z8)=0),"",ABS(J8-H8)/ABS(H8-I8))</f>
        <v/>
      </c>
      <c r="AB8" s="23" t="str">
        <f aca="false">IF(U8&lt;&gt;"Closed","",(N(L8)*N(M8)+N(N8)*N(O8)+Y8*Q8)/G8)</f>
        <v/>
      </c>
      <c r="AC8" s="24" t="str">
        <f aca="false">IF(U8&lt;&gt;"Closed","",IF($B8="Short",-1,1)*((N(M8)-H8)*N(L8)+(N(O8)-H8)*N(N8)+(Q8-H8)*Y8)-N(R8))</f>
        <v/>
      </c>
      <c r="AD8" s="25" t="str">
        <f aca="false">IF(OR(AC8="",N(Z8)=0),"",AC8/Z8)</f>
        <v/>
      </c>
      <c r="AE8" s="25" t="str">
        <f aca="false">IF(OR(S8="",N(Z8)=0),"",IF($B8="Short",-1,1)*(S8-H8)*G8/Z8)</f>
        <v/>
      </c>
      <c r="AF8" s="25" t="str">
        <f aca="false">IF(OR(T8="",N(Z8)=0),"",IF($B8="Short",-1,1)*(T8-H8)*G8/Z8)</f>
        <v/>
      </c>
      <c r="AG8" s="21" t="str">
        <f aca="false">IF(U8&lt;&gt;"Open","",Y8*MAX(0,IF($B8="Short",-1,1)*(H8-IF(K8="",I8,K8))))</f>
        <v/>
      </c>
      <c r="AH8" s="26" t="str">
        <f aca="false">IF(U8&lt;&gt;"Closed","",DATE(YEAR(P8),MONTH(P8),1))</f>
        <v/>
      </c>
      <c r="AI8" s="19" t="str">
        <f aca="false">IF(U8&lt;&gt;"Closed","",COUNTIFS($U$7:$U$506,"Closed",$P$7:$P$506,"&lt;"&amp;P8)+COUNTIFS($U$7:U8,"Closed",$P$7:P8,P8))</f>
        <v/>
      </c>
    </row>
    <row r="9" customFormat="false" ht="15" hidden="false" customHeight="false" outlineLevel="0" collapsed="false">
      <c r="A9" s="13"/>
      <c r="B9" s="14"/>
      <c r="C9" s="14"/>
      <c r="D9" s="14"/>
      <c r="E9" s="15"/>
      <c r="F9" s="15"/>
      <c r="G9" s="16"/>
      <c r="H9" s="17"/>
      <c r="I9" s="17"/>
      <c r="J9" s="17"/>
      <c r="K9" s="17"/>
      <c r="L9" s="16"/>
      <c r="M9" s="17"/>
      <c r="N9" s="16"/>
      <c r="O9" s="17"/>
      <c r="P9" s="15"/>
      <c r="Q9" s="17"/>
      <c r="R9" s="17"/>
      <c r="S9" s="17"/>
      <c r="T9" s="17"/>
      <c r="U9" s="18" t="str">
        <f aca="false">IF(A9="","",IF(N(G9)-N(L9)-N(N9)&lt;0,"Check shares",IF(AND(P9&lt;&gt;"",Q9&lt;&gt;""),"Closed","Open")))</f>
        <v/>
      </c>
      <c r="V9" s="19" t="str">
        <f aca="false">IF(OR(F9="",P9=""),"",NETWORKDAYS(F9,P9,Lists!$F$5:$F$40)-1)</f>
        <v/>
      </c>
      <c r="W9" s="18" t="str">
        <f aca="false">IF(V9="","",IF(V9=0,"Same day","Overnight"))</f>
        <v/>
      </c>
      <c r="X9" s="18" t="str">
        <f aca="false">IF(OR(E9="",F9=""),"",IF(AND(E9&gt;=F9,OR(P9="",E9&lt;=P9)),"Yes","No"))</f>
        <v/>
      </c>
      <c r="Y9" s="20" t="str">
        <f aca="false">IF(A9="","",N(G9)-N(L9)-N(N9))</f>
        <v/>
      </c>
      <c r="Z9" s="21" t="str">
        <f aca="false">IF(OR(G9="",H9="",I9=""),"",ABS(H9-I9)*G9)</f>
        <v/>
      </c>
      <c r="AA9" s="22" t="str">
        <f aca="false">IF(OR(J9="",N(Z9)=0),"",ABS(J9-H9)/ABS(H9-I9))</f>
        <v/>
      </c>
      <c r="AB9" s="23" t="str">
        <f aca="false">IF(U9&lt;&gt;"Closed","",(N(L9)*N(M9)+N(N9)*N(O9)+Y9*Q9)/G9)</f>
        <v/>
      </c>
      <c r="AC9" s="24" t="str">
        <f aca="false">IF(U9&lt;&gt;"Closed","",IF($B9="Short",-1,1)*((N(M9)-H9)*N(L9)+(N(O9)-H9)*N(N9)+(Q9-H9)*Y9)-N(R9))</f>
        <v/>
      </c>
      <c r="AD9" s="25" t="str">
        <f aca="false">IF(OR(AC9="",N(Z9)=0),"",AC9/Z9)</f>
        <v/>
      </c>
      <c r="AE9" s="25" t="str">
        <f aca="false">IF(OR(S9="",N(Z9)=0),"",IF($B9="Short",-1,1)*(S9-H9)*G9/Z9)</f>
        <v/>
      </c>
      <c r="AF9" s="25" t="str">
        <f aca="false">IF(OR(T9="",N(Z9)=0),"",IF($B9="Short",-1,1)*(T9-H9)*G9/Z9)</f>
        <v/>
      </c>
      <c r="AG9" s="21" t="str">
        <f aca="false">IF(U9&lt;&gt;"Open","",Y9*MAX(0,IF($B9="Short",-1,1)*(H9-IF(K9="",I9,K9))))</f>
        <v/>
      </c>
      <c r="AH9" s="26" t="str">
        <f aca="false">IF(U9&lt;&gt;"Closed","",DATE(YEAR(P9),MONTH(P9),1))</f>
        <v/>
      </c>
      <c r="AI9" s="19" t="str">
        <f aca="false">IF(U9&lt;&gt;"Closed","",COUNTIFS($U$7:$U$506,"Closed",$P$7:$P$506,"&lt;"&amp;P9)+COUNTIFS($U$7:U9,"Closed",$P$7:P9,P9))</f>
        <v/>
      </c>
    </row>
    <row r="10" customFormat="false" ht="15" hidden="false" customHeight="false" outlineLevel="0" collapsed="false">
      <c r="A10" s="13"/>
      <c r="B10" s="14"/>
      <c r="C10" s="14"/>
      <c r="D10" s="14"/>
      <c r="E10" s="15"/>
      <c r="F10" s="15"/>
      <c r="G10" s="16"/>
      <c r="H10" s="17"/>
      <c r="I10" s="17"/>
      <c r="J10" s="17"/>
      <c r="K10" s="17"/>
      <c r="L10" s="16"/>
      <c r="M10" s="17"/>
      <c r="N10" s="16"/>
      <c r="O10" s="17"/>
      <c r="P10" s="15"/>
      <c r="Q10" s="17"/>
      <c r="R10" s="17"/>
      <c r="S10" s="17"/>
      <c r="T10" s="17"/>
      <c r="U10" s="18" t="str">
        <f aca="false">IF(A10="","",IF(N(G10)-N(L10)-N(N10)&lt;0,"Check shares",IF(AND(P10&lt;&gt;"",Q10&lt;&gt;""),"Closed","Open")))</f>
        <v/>
      </c>
      <c r="V10" s="19" t="str">
        <f aca="false">IF(OR(F10="",P10=""),"",NETWORKDAYS(F10,P10,Lists!$F$5:$F$40)-1)</f>
        <v/>
      </c>
      <c r="W10" s="18" t="str">
        <f aca="false">IF(V10="","",IF(V10=0,"Same day","Overnight"))</f>
        <v/>
      </c>
      <c r="X10" s="18" t="str">
        <f aca="false">IF(OR(E10="",F10=""),"",IF(AND(E10&gt;=F10,OR(P10="",E10&lt;=P10)),"Yes","No"))</f>
        <v/>
      </c>
      <c r="Y10" s="20" t="str">
        <f aca="false">IF(A10="","",N(G10)-N(L10)-N(N10))</f>
        <v/>
      </c>
      <c r="Z10" s="21" t="str">
        <f aca="false">IF(OR(G10="",H10="",I10=""),"",ABS(H10-I10)*G10)</f>
        <v/>
      </c>
      <c r="AA10" s="22" t="str">
        <f aca="false">IF(OR(J10="",N(Z10)=0),"",ABS(J10-H10)/ABS(H10-I10))</f>
        <v/>
      </c>
      <c r="AB10" s="23" t="str">
        <f aca="false">IF(U10&lt;&gt;"Closed","",(N(L10)*N(M10)+N(N10)*N(O10)+Y10*Q10)/G10)</f>
        <v/>
      </c>
      <c r="AC10" s="24" t="str">
        <f aca="false">IF(U10&lt;&gt;"Closed","",IF($B10="Short",-1,1)*((N(M10)-H10)*N(L10)+(N(O10)-H10)*N(N10)+(Q10-H10)*Y10)-N(R10))</f>
        <v/>
      </c>
      <c r="AD10" s="25" t="str">
        <f aca="false">IF(OR(AC10="",N(Z10)=0),"",AC10/Z10)</f>
        <v/>
      </c>
      <c r="AE10" s="25" t="str">
        <f aca="false">IF(OR(S10="",N(Z10)=0),"",IF($B10="Short",-1,1)*(S10-H10)*G10/Z10)</f>
        <v/>
      </c>
      <c r="AF10" s="25" t="str">
        <f aca="false">IF(OR(T10="",N(Z10)=0),"",IF($B10="Short",-1,1)*(T10-H10)*G10/Z10)</f>
        <v/>
      </c>
      <c r="AG10" s="21" t="str">
        <f aca="false">IF(U10&lt;&gt;"Open","",Y10*MAX(0,IF($B10="Short",-1,1)*(H10-IF(K10="",I10,K10))))</f>
        <v/>
      </c>
      <c r="AH10" s="26" t="str">
        <f aca="false">IF(U10&lt;&gt;"Closed","",DATE(YEAR(P10),MONTH(P10),1))</f>
        <v/>
      </c>
      <c r="AI10" s="19" t="str">
        <f aca="false">IF(U10&lt;&gt;"Closed","",COUNTIFS($U$7:$U$506,"Closed",$P$7:$P$506,"&lt;"&amp;P10)+COUNTIFS($U$7:U10,"Closed",$P$7:P10,P10))</f>
        <v/>
      </c>
    </row>
    <row r="11" customFormat="false" ht="15" hidden="false" customHeight="false" outlineLevel="0" collapsed="false">
      <c r="A11" s="13"/>
      <c r="B11" s="14"/>
      <c r="C11" s="14"/>
      <c r="D11" s="14"/>
      <c r="E11" s="15"/>
      <c r="F11" s="15"/>
      <c r="G11" s="16"/>
      <c r="H11" s="17"/>
      <c r="I11" s="17"/>
      <c r="J11" s="17"/>
      <c r="K11" s="17"/>
      <c r="L11" s="16"/>
      <c r="M11" s="17"/>
      <c r="N11" s="16"/>
      <c r="O11" s="17"/>
      <c r="P11" s="15"/>
      <c r="Q11" s="17"/>
      <c r="R11" s="17"/>
      <c r="S11" s="17"/>
      <c r="T11" s="17"/>
      <c r="U11" s="18" t="str">
        <f aca="false">IF(A11="","",IF(N(G11)-N(L11)-N(N11)&lt;0,"Check shares",IF(AND(P11&lt;&gt;"",Q11&lt;&gt;""),"Closed","Open")))</f>
        <v/>
      </c>
      <c r="V11" s="19" t="str">
        <f aca="false">IF(OR(F11="",P11=""),"",NETWORKDAYS(F11,P11,Lists!$F$5:$F$40)-1)</f>
        <v/>
      </c>
      <c r="W11" s="18" t="str">
        <f aca="false">IF(V11="","",IF(V11=0,"Same day","Overnight"))</f>
        <v/>
      </c>
      <c r="X11" s="18" t="str">
        <f aca="false">IF(OR(E11="",F11=""),"",IF(AND(E11&gt;=F11,OR(P11="",E11&lt;=P11)),"Yes","No"))</f>
        <v/>
      </c>
      <c r="Y11" s="20" t="str">
        <f aca="false">IF(A11="","",N(G11)-N(L11)-N(N11))</f>
        <v/>
      </c>
      <c r="Z11" s="21" t="str">
        <f aca="false">IF(OR(G11="",H11="",I11=""),"",ABS(H11-I11)*G11)</f>
        <v/>
      </c>
      <c r="AA11" s="22" t="str">
        <f aca="false">IF(OR(J11="",N(Z11)=0),"",ABS(J11-H11)/ABS(H11-I11))</f>
        <v/>
      </c>
      <c r="AB11" s="23" t="str">
        <f aca="false">IF(U11&lt;&gt;"Closed","",(N(L11)*N(M11)+N(N11)*N(O11)+Y11*Q11)/G11)</f>
        <v/>
      </c>
      <c r="AC11" s="24" t="str">
        <f aca="false">IF(U11&lt;&gt;"Closed","",IF($B11="Short",-1,1)*((N(M11)-H11)*N(L11)+(N(O11)-H11)*N(N11)+(Q11-H11)*Y11)-N(R11))</f>
        <v/>
      </c>
      <c r="AD11" s="25" t="str">
        <f aca="false">IF(OR(AC11="",N(Z11)=0),"",AC11/Z11)</f>
        <v/>
      </c>
      <c r="AE11" s="25" t="str">
        <f aca="false">IF(OR(S11="",N(Z11)=0),"",IF($B11="Short",-1,1)*(S11-H11)*G11/Z11)</f>
        <v/>
      </c>
      <c r="AF11" s="25" t="str">
        <f aca="false">IF(OR(T11="",N(Z11)=0),"",IF($B11="Short",-1,1)*(T11-H11)*G11/Z11)</f>
        <v/>
      </c>
      <c r="AG11" s="21" t="str">
        <f aca="false">IF(U11&lt;&gt;"Open","",Y11*MAX(0,IF($B11="Short",-1,1)*(H11-IF(K11="",I11,K11))))</f>
        <v/>
      </c>
      <c r="AH11" s="26" t="str">
        <f aca="false">IF(U11&lt;&gt;"Closed","",DATE(YEAR(P11),MONTH(P11),1))</f>
        <v/>
      </c>
      <c r="AI11" s="19" t="str">
        <f aca="false">IF(U11&lt;&gt;"Closed","",COUNTIFS($U$7:$U$506,"Closed",$P$7:$P$506,"&lt;"&amp;P11)+COUNTIFS($U$7:U11,"Closed",$P$7:P11,P11))</f>
        <v/>
      </c>
    </row>
    <row r="12" customFormat="false" ht="15" hidden="false" customHeight="false" outlineLevel="0" collapsed="false">
      <c r="A12" s="13"/>
      <c r="B12" s="14"/>
      <c r="C12" s="14"/>
      <c r="D12" s="14"/>
      <c r="E12" s="15"/>
      <c r="F12" s="15"/>
      <c r="G12" s="16"/>
      <c r="H12" s="17"/>
      <c r="I12" s="17"/>
      <c r="J12" s="17"/>
      <c r="K12" s="17"/>
      <c r="L12" s="16"/>
      <c r="M12" s="17"/>
      <c r="N12" s="16"/>
      <c r="O12" s="17"/>
      <c r="P12" s="15"/>
      <c r="Q12" s="17"/>
      <c r="R12" s="17"/>
      <c r="S12" s="17"/>
      <c r="T12" s="17"/>
      <c r="U12" s="18" t="str">
        <f aca="false">IF(A12="","",IF(N(G12)-N(L12)-N(N12)&lt;0,"Check shares",IF(AND(P12&lt;&gt;"",Q12&lt;&gt;""),"Closed","Open")))</f>
        <v/>
      </c>
      <c r="V12" s="19" t="str">
        <f aca="false">IF(OR(F12="",P12=""),"",NETWORKDAYS(F12,P12,Lists!$F$5:$F$40)-1)</f>
        <v/>
      </c>
      <c r="W12" s="18" t="str">
        <f aca="false">IF(V12="","",IF(V12=0,"Same day","Overnight"))</f>
        <v/>
      </c>
      <c r="X12" s="18" t="str">
        <f aca="false">IF(OR(E12="",F12=""),"",IF(AND(E12&gt;=F12,OR(P12="",E12&lt;=P12)),"Yes","No"))</f>
        <v/>
      </c>
      <c r="Y12" s="20" t="str">
        <f aca="false">IF(A12="","",N(G12)-N(L12)-N(N12))</f>
        <v/>
      </c>
      <c r="Z12" s="21" t="str">
        <f aca="false">IF(OR(G12="",H12="",I12=""),"",ABS(H12-I12)*G12)</f>
        <v/>
      </c>
      <c r="AA12" s="22" t="str">
        <f aca="false">IF(OR(J12="",N(Z12)=0),"",ABS(J12-H12)/ABS(H12-I12))</f>
        <v/>
      </c>
      <c r="AB12" s="23" t="str">
        <f aca="false">IF(U12&lt;&gt;"Closed","",(N(L12)*N(M12)+N(N12)*N(O12)+Y12*Q12)/G12)</f>
        <v/>
      </c>
      <c r="AC12" s="24" t="str">
        <f aca="false">IF(U12&lt;&gt;"Closed","",IF($B12="Short",-1,1)*((N(M12)-H12)*N(L12)+(N(O12)-H12)*N(N12)+(Q12-H12)*Y12)-N(R12))</f>
        <v/>
      </c>
      <c r="AD12" s="25" t="str">
        <f aca="false">IF(OR(AC12="",N(Z12)=0),"",AC12/Z12)</f>
        <v/>
      </c>
      <c r="AE12" s="25" t="str">
        <f aca="false">IF(OR(S12="",N(Z12)=0),"",IF($B12="Short",-1,1)*(S12-H12)*G12/Z12)</f>
        <v/>
      </c>
      <c r="AF12" s="25" t="str">
        <f aca="false">IF(OR(T12="",N(Z12)=0),"",IF($B12="Short",-1,1)*(T12-H12)*G12/Z12)</f>
        <v/>
      </c>
      <c r="AG12" s="21" t="str">
        <f aca="false">IF(U12&lt;&gt;"Open","",Y12*MAX(0,IF($B12="Short",-1,1)*(H12-IF(K12="",I12,K12))))</f>
        <v/>
      </c>
      <c r="AH12" s="26" t="str">
        <f aca="false">IF(U12&lt;&gt;"Closed","",DATE(YEAR(P12),MONTH(P12),1))</f>
        <v/>
      </c>
      <c r="AI12" s="19" t="str">
        <f aca="false">IF(U12&lt;&gt;"Closed","",COUNTIFS($U$7:$U$506,"Closed",$P$7:$P$506,"&lt;"&amp;P12)+COUNTIFS($U$7:U12,"Closed",$P$7:P12,P12))</f>
        <v/>
      </c>
    </row>
    <row r="13" customFormat="false" ht="15" hidden="false" customHeight="false" outlineLevel="0" collapsed="false">
      <c r="A13" s="13"/>
      <c r="B13" s="14"/>
      <c r="C13" s="14"/>
      <c r="D13" s="14"/>
      <c r="E13" s="15"/>
      <c r="F13" s="15"/>
      <c r="G13" s="16"/>
      <c r="H13" s="17"/>
      <c r="I13" s="17"/>
      <c r="J13" s="17"/>
      <c r="K13" s="17"/>
      <c r="L13" s="16"/>
      <c r="M13" s="17"/>
      <c r="N13" s="16"/>
      <c r="O13" s="17"/>
      <c r="P13" s="15"/>
      <c r="Q13" s="17"/>
      <c r="R13" s="17"/>
      <c r="S13" s="17"/>
      <c r="T13" s="17"/>
      <c r="U13" s="18" t="str">
        <f aca="false">IF(A13="","",IF(N(G13)-N(L13)-N(N13)&lt;0,"Check shares",IF(AND(P13&lt;&gt;"",Q13&lt;&gt;""),"Closed","Open")))</f>
        <v/>
      </c>
      <c r="V13" s="19" t="str">
        <f aca="false">IF(OR(F13="",P13=""),"",NETWORKDAYS(F13,P13,Lists!$F$5:$F$40)-1)</f>
        <v/>
      </c>
      <c r="W13" s="18" t="str">
        <f aca="false">IF(V13="","",IF(V13=0,"Same day","Overnight"))</f>
        <v/>
      </c>
      <c r="X13" s="18" t="str">
        <f aca="false">IF(OR(E13="",F13=""),"",IF(AND(E13&gt;=F13,OR(P13="",E13&lt;=P13)),"Yes","No"))</f>
        <v/>
      </c>
      <c r="Y13" s="20" t="str">
        <f aca="false">IF(A13="","",N(G13)-N(L13)-N(N13))</f>
        <v/>
      </c>
      <c r="Z13" s="21" t="str">
        <f aca="false">IF(OR(G13="",H13="",I13=""),"",ABS(H13-I13)*G13)</f>
        <v/>
      </c>
      <c r="AA13" s="22" t="str">
        <f aca="false">IF(OR(J13="",N(Z13)=0),"",ABS(J13-H13)/ABS(H13-I13))</f>
        <v/>
      </c>
      <c r="AB13" s="23" t="str">
        <f aca="false">IF(U13&lt;&gt;"Closed","",(N(L13)*N(M13)+N(N13)*N(O13)+Y13*Q13)/G13)</f>
        <v/>
      </c>
      <c r="AC13" s="24" t="str">
        <f aca="false">IF(U13&lt;&gt;"Closed","",IF($B13="Short",-1,1)*((N(M13)-H13)*N(L13)+(N(O13)-H13)*N(N13)+(Q13-H13)*Y13)-N(R13))</f>
        <v/>
      </c>
      <c r="AD13" s="25" t="str">
        <f aca="false">IF(OR(AC13="",N(Z13)=0),"",AC13/Z13)</f>
        <v/>
      </c>
      <c r="AE13" s="25" t="str">
        <f aca="false">IF(OR(S13="",N(Z13)=0),"",IF($B13="Short",-1,1)*(S13-H13)*G13/Z13)</f>
        <v/>
      </c>
      <c r="AF13" s="25" t="str">
        <f aca="false">IF(OR(T13="",N(Z13)=0),"",IF($B13="Short",-1,1)*(T13-H13)*G13/Z13)</f>
        <v/>
      </c>
      <c r="AG13" s="21" t="str">
        <f aca="false">IF(U13&lt;&gt;"Open","",Y13*MAX(0,IF($B13="Short",-1,1)*(H13-IF(K13="",I13,K13))))</f>
        <v/>
      </c>
      <c r="AH13" s="26" t="str">
        <f aca="false">IF(U13&lt;&gt;"Closed","",DATE(YEAR(P13),MONTH(P13),1))</f>
        <v/>
      </c>
      <c r="AI13" s="19" t="str">
        <f aca="false">IF(U13&lt;&gt;"Closed","",COUNTIFS($U$7:$U$506,"Closed",$P$7:$P$506,"&lt;"&amp;P13)+COUNTIFS($U$7:U13,"Closed",$P$7:P13,P13))</f>
        <v/>
      </c>
    </row>
    <row r="14" customFormat="false" ht="15" hidden="false" customHeight="false" outlineLevel="0" collapsed="false">
      <c r="A14" s="13"/>
      <c r="B14" s="14"/>
      <c r="C14" s="14"/>
      <c r="D14" s="14"/>
      <c r="E14" s="15"/>
      <c r="F14" s="15"/>
      <c r="G14" s="16"/>
      <c r="H14" s="17"/>
      <c r="I14" s="17"/>
      <c r="J14" s="17"/>
      <c r="K14" s="17"/>
      <c r="L14" s="16"/>
      <c r="M14" s="17"/>
      <c r="N14" s="16"/>
      <c r="O14" s="17"/>
      <c r="P14" s="15"/>
      <c r="Q14" s="17"/>
      <c r="R14" s="17"/>
      <c r="S14" s="17"/>
      <c r="T14" s="17"/>
      <c r="U14" s="18" t="str">
        <f aca="false">IF(A14="","",IF(N(G14)-N(L14)-N(N14)&lt;0,"Check shares",IF(AND(P14&lt;&gt;"",Q14&lt;&gt;""),"Closed","Open")))</f>
        <v/>
      </c>
      <c r="V14" s="19" t="str">
        <f aca="false">IF(OR(F14="",P14=""),"",NETWORKDAYS(F14,P14,Lists!$F$5:$F$40)-1)</f>
        <v/>
      </c>
      <c r="W14" s="18" t="str">
        <f aca="false">IF(V14="","",IF(V14=0,"Same day","Overnight"))</f>
        <v/>
      </c>
      <c r="X14" s="18" t="str">
        <f aca="false">IF(OR(E14="",F14=""),"",IF(AND(E14&gt;=F14,OR(P14="",E14&lt;=P14)),"Yes","No"))</f>
        <v/>
      </c>
      <c r="Y14" s="20" t="str">
        <f aca="false">IF(A14="","",N(G14)-N(L14)-N(N14))</f>
        <v/>
      </c>
      <c r="Z14" s="21" t="str">
        <f aca="false">IF(OR(G14="",H14="",I14=""),"",ABS(H14-I14)*G14)</f>
        <v/>
      </c>
      <c r="AA14" s="22" t="str">
        <f aca="false">IF(OR(J14="",N(Z14)=0),"",ABS(J14-H14)/ABS(H14-I14))</f>
        <v/>
      </c>
      <c r="AB14" s="23" t="str">
        <f aca="false">IF(U14&lt;&gt;"Closed","",(N(L14)*N(M14)+N(N14)*N(O14)+Y14*Q14)/G14)</f>
        <v/>
      </c>
      <c r="AC14" s="24" t="str">
        <f aca="false">IF(U14&lt;&gt;"Closed","",IF($B14="Short",-1,1)*((N(M14)-H14)*N(L14)+(N(O14)-H14)*N(N14)+(Q14-H14)*Y14)-N(R14))</f>
        <v/>
      </c>
      <c r="AD14" s="25" t="str">
        <f aca="false">IF(OR(AC14="",N(Z14)=0),"",AC14/Z14)</f>
        <v/>
      </c>
      <c r="AE14" s="25" t="str">
        <f aca="false">IF(OR(S14="",N(Z14)=0),"",IF($B14="Short",-1,1)*(S14-H14)*G14/Z14)</f>
        <v/>
      </c>
      <c r="AF14" s="25" t="str">
        <f aca="false">IF(OR(T14="",N(Z14)=0),"",IF($B14="Short",-1,1)*(T14-H14)*G14/Z14)</f>
        <v/>
      </c>
      <c r="AG14" s="21" t="str">
        <f aca="false">IF(U14&lt;&gt;"Open","",Y14*MAX(0,IF($B14="Short",-1,1)*(H14-IF(K14="",I14,K14))))</f>
        <v/>
      </c>
      <c r="AH14" s="26" t="str">
        <f aca="false">IF(U14&lt;&gt;"Closed","",DATE(YEAR(P14),MONTH(P14),1))</f>
        <v/>
      </c>
      <c r="AI14" s="19" t="str">
        <f aca="false">IF(U14&lt;&gt;"Closed","",COUNTIFS($U$7:$U$506,"Closed",$P$7:$P$506,"&lt;"&amp;P14)+COUNTIFS($U$7:U14,"Closed",$P$7:P14,P14))</f>
        <v/>
      </c>
    </row>
    <row r="15" customFormat="false" ht="15" hidden="false" customHeight="false" outlineLevel="0" collapsed="false">
      <c r="A15" s="13"/>
      <c r="B15" s="14"/>
      <c r="C15" s="14"/>
      <c r="D15" s="14"/>
      <c r="E15" s="15"/>
      <c r="F15" s="15"/>
      <c r="G15" s="16"/>
      <c r="H15" s="17"/>
      <c r="I15" s="17"/>
      <c r="J15" s="17"/>
      <c r="K15" s="17"/>
      <c r="L15" s="16"/>
      <c r="M15" s="17"/>
      <c r="N15" s="16"/>
      <c r="O15" s="17"/>
      <c r="P15" s="15"/>
      <c r="Q15" s="17"/>
      <c r="R15" s="17"/>
      <c r="S15" s="17"/>
      <c r="T15" s="17"/>
      <c r="U15" s="18" t="str">
        <f aca="false">IF(A15="","",IF(N(G15)-N(L15)-N(N15)&lt;0,"Check shares",IF(AND(P15&lt;&gt;"",Q15&lt;&gt;""),"Closed","Open")))</f>
        <v/>
      </c>
      <c r="V15" s="19" t="str">
        <f aca="false">IF(OR(F15="",P15=""),"",NETWORKDAYS(F15,P15,Lists!$F$5:$F$40)-1)</f>
        <v/>
      </c>
      <c r="W15" s="18" t="str">
        <f aca="false">IF(V15="","",IF(V15=0,"Same day","Overnight"))</f>
        <v/>
      </c>
      <c r="X15" s="18" t="str">
        <f aca="false">IF(OR(E15="",F15=""),"",IF(AND(E15&gt;=F15,OR(P15="",E15&lt;=P15)),"Yes","No"))</f>
        <v/>
      </c>
      <c r="Y15" s="20" t="str">
        <f aca="false">IF(A15="","",N(G15)-N(L15)-N(N15))</f>
        <v/>
      </c>
      <c r="Z15" s="21" t="str">
        <f aca="false">IF(OR(G15="",H15="",I15=""),"",ABS(H15-I15)*G15)</f>
        <v/>
      </c>
      <c r="AA15" s="22" t="str">
        <f aca="false">IF(OR(J15="",N(Z15)=0),"",ABS(J15-H15)/ABS(H15-I15))</f>
        <v/>
      </c>
      <c r="AB15" s="23" t="str">
        <f aca="false">IF(U15&lt;&gt;"Closed","",(N(L15)*N(M15)+N(N15)*N(O15)+Y15*Q15)/G15)</f>
        <v/>
      </c>
      <c r="AC15" s="24" t="str">
        <f aca="false">IF(U15&lt;&gt;"Closed","",IF($B15="Short",-1,1)*((N(M15)-H15)*N(L15)+(N(O15)-H15)*N(N15)+(Q15-H15)*Y15)-N(R15))</f>
        <v/>
      </c>
      <c r="AD15" s="25" t="str">
        <f aca="false">IF(OR(AC15="",N(Z15)=0),"",AC15/Z15)</f>
        <v/>
      </c>
      <c r="AE15" s="25" t="str">
        <f aca="false">IF(OR(S15="",N(Z15)=0),"",IF($B15="Short",-1,1)*(S15-H15)*G15/Z15)</f>
        <v/>
      </c>
      <c r="AF15" s="25" t="str">
        <f aca="false">IF(OR(T15="",N(Z15)=0),"",IF($B15="Short",-1,1)*(T15-H15)*G15/Z15)</f>
        <v/>
      </c>
      <c r="AG15" s="21" t="str">
        <f aca="false">IF(U15&lt;&gt;"Open","",Y15*MAX(0,IF($B15="Short",-1,1)*(H15-IF(K15="",I15,K15))))</f>
        <v/>
      </c>
      <c r="AH15" s="26" t="str">
        <f aca="false">IF(U15&lt;&gt;"Closed","",DATE(YEAR(P15),MONTH(P15),1))</f>
        <v/>
      </c>
      <c r="AI15" s="19" t="str">
        <f aca="false">IF(U15&lt;&gt;"Closed","",COUNTIFS($U$7:$U$506,"Closed",$P$7:$P$506,"&lt;"&amp;P15)+COUNTIFS($U$7:U15,"Closed",$P$7:P15,P15))</f>
        <v/>
      </c>
    </row>
    <row r="16" customFormat="false" ht="15" hidden="false" customHeight="false" outlineLevel="0" collapsed="false">
      <c r="A16" s="13"/>
      <c r="B16" s="14"/>
      <c r="C16" s="14"/>
      <c r="D16" s="14"/>
      <c r="E16" s="15"/>
      <c r="F16" s="15"/>
      <c r="G16" s="16"/>
      <c r="H16" s="17"/>
      <c r="I16" s="17"/>
      <c r="J16" s="17"/>
      <c r="K16" s="17"/>
      <c r="L16" s="16"/>
      <c r="M16" s="17"/>
      <c r="N16" s="16"/>
      <c r="O16" s="17"/>
      <c r="P16" s="15"/>
      <c r="Q16" s="17"/>
      <c r="R16" s="17"/>
      <c r="S16" s="17"/>
      <c r="T16" s="17"/>
      <c r="U16" s="18" t="str">
        <f aca="false">IF(A16="","",IF(N(G16)-N(L16)-N(N16)&lt;0,"Check shares",IF(AND(P16&lt;&gt;"",Q16&lt;&gt;""),"Closed","Open")))</f>
        <v/>
      </c>
      <c r="V16" s="19" t="str">
        <f aca="false">IF(OR(F16="",P16=""),"",NETWORKDAYS(F16,P16,Lists!$F$5:$F$40)-1)</f>
        <v/>
      </c>
      <c r="W16" s="18" t="str">
        <f aca="false">IF(V16="","",IF(V16=0,"Same day","Overnight"))</f>
        <v/>
      </c>
      <c r="X16" s="18" t="str">
        <f aca="false">IF(OR(E16="",F16=""),"",IF(AND(E16&gt;=F16,OR(P16="",E16&lt;=P16)),"Yes","No"))</f>
        <v/>
      </c>
      <c r="Y16" s="20" t="str">
        <f aca="false">IF(A16="","",N(G16)-N(L16)-N(N16))</f>
        <v/>
      </c>
      <c r="Z16" s="21" t="str">
        <f aca="false">IF(OR(G16="",H16="",I16=""),"",ABS(H16-I16)*G16)</f>
        <v/>
      </c>
      <c r="AA16" s="22" t="str">
        <f aca="false">IF(OR(J16="",N(Z16)=0),"",ABS(J16-H16)/ABS(H16-I16))</f>
        <v/>
      </c>
      <c r="AB16" s="23" t="str">
        <f aca="false">IF(U16&lt;&gt;"Closed","",(N(L16)*N(M16)+N(N16)*N(O16)+Y16*Q16)/G16)</f>
        <v/>
      </c>
      <c r="AC16" s="24" t="str">
        <f aca="false">IF(U16&lt;&gt;"Closed","",IF($B16="Short",-1,1)*((N(M16)-H16)*N(L16)+(N(O16)-H16)*N(N16)+(Q16-H16)*Y16)-N(R16))</f>
        <v/>
      </c>
      <c r="AD16" s="25" t="str">
        <f aca="false">IF(OR(AC16="",N(Z16)=0),"",AC16/Z16)</f>
        <v/>
      </c>
      <c r="AE16" s="25" t="str">
        <f aca="false">IF(OR(S16="",N(Z16)=0),"",IF($B16="Short",-1,1)*(S16-H16)*G16/Z16)</f>
        <v/>
      </c>
      <c r="AF16" s="25" t="str">
        <f aca="false">IF(OR(T16="",N(Z16)=0),"",IF($B16="Short",-1,1)*(T16-H16)*G16/Z16)</f>
        <v/>
      </c>
      <c r="AG16" s="21" t="str">
        <f aca="false">IF(U16&lt;&gt;"Open","",Y16*MAX(0,IF($B16="Short",-1,1)*(H16-IF(K16="",I16,K16))))</f>
        <v/>
      </c>
      <c r="AH16" s="26" t="str">
        <f aca="false">IF(U16&lt;&gt;"Closed","",DATE(YEAR(P16),MONTH(P16),1))</f>
        <v/>
      </c>
      <c r="AI16" s="19" t="str">
        <f aca="false">IF(U16&lt;&gt;"Closed","",COUNTIFS($U$7:$U$506,"Closed",$P$7:$P$506,"&lt;"&amp;P16)+COUNTIFS($U$7:U16,"Closed",$P$7:P16,P16))</f>
        <v/>
      </c>
    </row>
    <row r="17" customFormat="false" ht="15" hidden="false" customHeight="false" outlineLevel="0" collapsed="false">
      <c r="A17" s="13"/>
      <c r="B17" s="14"/>
      <c r="C17" s="14"/>
      <c r="D17" s="14"/>
      <c r="E17" s="15"/>
      <c r="F17" s="15"/>
      <c r="G17" s="16"/>
      <c r="H17" s="17"/>
      <c r="I17" s="17"/>
      <c r="J17" s="17"/>
      <c r="K17" s="17"/>
      <c r="L17" s="16"/>
      <c r="M17" s="17"/>
      <c r="N17" s="16"/>
      <c r="O17" s="17"/>
      <c r="P17" s="15"/>
      <c r="Q17" s="17"/>
      <c r="R17" s="17"/>
      <c r="S17" s="17"/>
      <c r="T17" s="17"/>
      <c r="U17" s="18" t="str">
        <f aca="false">IF(A17="","",IF(N(G17)-N(L17)-N(N17)&lt;0,"Check shares",IF(AND(P17&lt;&gt;"",Q17&lt;&gt;""),"Closed","Open")))</f>
        <v/>
      </c>
      <c r="V17" s="19" t="str">
        <f aca="false">IF(OR(F17="",P17=""),"",NETWORKDAYS(F17,P17,Lists!$F$5:$F$40)-1)</f>
        <v/>
      </c>
      <c r="W17" s="18" t="str">
        <f aca="false">IF(V17="","",IF(V17=0,"Same day","Overnight"))</f>
        <v/>
      </c>
      <c r="X17" s="18" t="str">
        <f aca="false">IF(OR(E17="",F17=""),"",IF(AND(E17&gt;=F17,OR(P17="",E17&lt;=P17)),"Yes","No"))</f>
        <v/>
      </c>
      <c r="Y17" s="20" t="str">
        <f aca="false">IF(A17="","",N(G17)-N(L17)-N(N17))</f>
        <v/>
      </c>
      <c r="Z17" s="21" t="str">
        <f aca="false">IF(OR(G17="",H17="",I17=""),"",ABS(H17-I17)*G17)</f>
        <v/>
      </c>
      <c r="AA17" s="22" t="str">
        <f aca="false">IF(OR(J17="",N(Z17)=0),"",ABS(J17-H17)/ABS(H17-I17))</f>
        <v/>
      </c>
      <c r="AB17" s="23" t="str">
        <f aca="false">IF(U17&lt;&gt;"Closed","",(N(L17)*N(M17)+N(N17)*N(O17)+Y17*Q17)/G17)</f>
        <v/>
      </c>
      <c r="AC17" s="24" t="str">
        <f aca="false">IF(U17&lt;&gt;"Closed","",IF($B17="Short",-1,1)*((N(M17)-H17)*N(L17)+(N(O17)-H17)*N(N17)+(Q17-H17)*Y17)-N(R17))</f>
        <v/>
      </c>
      <c r="AD17" s="25" t="str">
        <f aca="false">IF(OR(AC17="",N(Z17)=0),"",AC17/Z17)</f>
        <v/>
      </c>
      <c r="AE17" s="25" t="str">
        <f aca="false">IF(OR(S17="",N(Z17)=0),"",IF($B17="Short",-1,1)*(S17-H17)*G17/Z17)</f>
        <v/>
      </c>
      <c r="AF17" s="25" t="str">
        <f aca="false">IF(OR(T17="",N(Z17)=0),"",IF($B17="Short",-1,1)*(T17-H17)*G17/Z17)</f>
        <v/>
      </c>
      <c r="AG17" s="21" t="str">
        <f aca="false">IF(U17&lt;&gt;"Open","",Y17*MAX(0,IF($B17="Short",-1,1)*(H17-IF(K17="",I17,K17))))</f>
        <v/>
      </c>
      <c r="AH17" s="26" t="str">
        <f aca="false">IF(U17&lt;&gt;"Closed","",DATE(YEAR(P17),MONTH(P17),1))</f>
        <v/>
      </c>
      <c r="AI17" s="19" t="str">
        <f aca="false">IF(U17&lt;&gt;"Closed","",COUNTIFS($U$7:$U$506,"Closed",$P$7:$P$506,"&lt;"&amp;P17)+COUNTIFS($U$7:U17,"Closed",$P$7:P17,P17))</f>
        <v/>
      </c>
    </row>
    <row r="18" customFormat="false" ht="15" hidden="false" customHeight="false" outlineLevel="0" collapsed="false">
      <c r="A18" s="13"/>
      <c r="B18" s="14"/>
      <c r="C18" s="14"/>
      <c r="D18" s="14"/>
      <c r="E18" s="15"/>
      <c r="F18" s="15"/>
      <c r="G18" s="16"/>
      <c r="H18" s="17"/>
      <c r="I18" s="17"/>
      <c r="J18" s="17"/>
      <c r="K18" s="17"/>
      <c r="L18" s="16"/>
      <c r="M18" s="17"/>
      <c r="N18" s="16"/>
      <c r="O18" s="17"/>
      <c r="P18" s="15"/>
      <c r="Q18" s="17"/>
      <c r="R18" s="17"/>
      <c r="S18" s="17"/>
      <c r="T18" s="17"/>
      <c r="U18" s="18" t="str">
        <f aca="false">IF(A18="","",IF(N(G18)-N(L18)-N(N18)&lt;0,"Check shares",IF(AND(P18&lt;&gt;"",Q18&lt;&gt;""),"Closed","Open")))</f>
        <v/>
      </c>
      <c r="V18" s="19" t="str">
        <f aca="false">IF(OR(F18="",P18=""),"",NETWORKDAYS(F18,P18,Lists!$F$5:$F$40)-1)</f>
        <v/>
      </c>
      <c r="W18" s="18" t="str">
        <f aca="false">IF(V18="","",IF(V18=0,"Same day","Overnight"))</f>
        <v/>
      </c>
      <c r="X18" s="18" t="str">
        <f aca="false">IF(OR(E18="",F18=""),"",IF(AND(E18&gt;=F18,OR(P18="",E18&lt;=P18)),"Yes","No"))</f>
        <v/>
      </c>
      <c r="Y18" s="20" t="str">
        <f aca="false">IF(A18="","",N(G18)-N(L18)-N(N18))</f>
        <v/>
      </c>
      <c r="Z18" s="21" t="str">
        <f aca="false">IF(OR(G18="",H18="",I18=""),"",ABS(H18-I18)*G18)</f>
        <v/>
      </c>
      <c r="AA18" s="22" t="str">
        <f aca="false">IF(OR(J18="",N(Z18)=0),"",ABS(J18-H18)/ABS(H18-I18))</f>
        <v/>
      </c>
      <c r="AB18" s="23" t="str">
        <f aca="false">IF(U18&lt;&gt;"Closed","",(N(L18)*N(M18)+N(N18)*N(O18)+Y18*Q18)/G18)</f>
        <v/>
      </c>
      <c r="AC18" s="24" t="str">
        <f aca="false">IF(U18&lt;&gt;"Closed","",IF($B18="Short",-1,1)*((N(M18)-H18)*N(L18)+(N(O18)-H18)*N(N18)+(Q18-H18)*Y18)-N(R18))</f>
        <v/>
      </c>
      <c r="AD18" s="25" t="str">
        <f aca="false">IF(OR(AC18="",N(Z18)=0),"",AC18/Z18)</f>
        <v/>
      </c>
      <c r="AE18" s="25" t="str">
        <f aca="false">IF(OR(S18="",N(Z18)=0),"",IF($B18="Short",-1,1)*(S18-H18)*G18/Z18)</f>
        <v/>
      </c>
      <c r="AF18" s="25" t="str">
        <f aca="false">IF(OR(T18="",N(Z18)=0),"",IF($B18="Short",-1,1)*(T18-H18)*G18/Z18)</f>
        <v/>
      </c>
      <c r="AG18" s="21" t="str">
        <f aca="false">IF(U18&lt;&gt;"Open","",Y18*MAX(0,IF($B18="Short",-1,1)*(H18-IF(K18="",I18,K18))))</f>
        <v/>
      </c>
      <c r="AH18" s="26" t="str">
        <f aca="false">IF(U18&lt;&gt;"Closed","",DATE(YEAR(P18),MONTH(P18),1))</f>
        <v/>
      </c>
      <c r="AI18" s="19" t="str">
        <f aca="false">IF(U18&lt;&gt;"Closed","",COUNTIFS($U$7:$U$506,"Closed",$P$7:$P$506,"&lt;"&amp;P18)+COUNTIFS($U$7:U18,"Closed",$P$7:P18,P18))</f>
        <v/>
      </c>
    </row>
    <row r="19" customFormat="false" ht="15" hidden="false" customHeight="false" outlineLevel="0" collapsed="false">
      <c r="A19" s="13"/>
      <c r="B19" s="14"/>
      <c r="C19" s="14"/>
      <c r="D19" s="14"/>
      <c r="E19" s="15"/>
      <c r="F19" s="15"/>
      <c r="G19" s="16"/>
      <c r="H19" s="17"/>
      <c r="I19" s="17"/>
      <c r="J19" s="17"/>
      <c r="K19" s="17"/>
      <c r="L19" s="16"/>
      <c r="M19" s="17"/>
      <c r="N19" s="16"/>
      <c r="O19" s="17"/>
      <c r="P19" s="15"/>
      <c r="Q19" s="17"/>
      <c r="R19" s="17"/>
      <c r="S19" s="17"/>
      <c r="T19" s="17"/>
      <c r="U19" s="18" t="str">
        <f aca="false">IF(A19="","",IF(N(G19)-N(L19)-N(N19)&lt;0,"Check shares",IF(AND(P19&lt;&gt;"",Q19&lt;&gt;""),"Closed","Open")))</f>
        <v/>
      </c>
      <c r="V19" s="19" t="str">
        <f aca="false">IF(OR(F19="",P19=""),"",NETWORKDAYS(F19,P19,Lists!$F$5:$F$40)-1)</f>
        <v/>
      </c>
      <c r="W19" s="18" t="str">
        <f aca="false">IF(V19="","",IF(V19=0,"Same day","Overnight"))</f>
        <v/>
      </c>
      <c r="X19" s="18" t="str">
        <f aca="false">IF(OR(E19="",F19=""),"",IF(AND(E19&gt;=F19,OR(P19="",E19&lt;=P19)),"Yes","No"))</f>
        <v/>
      </c>
      <c r="Y19" s="20" t="str">
        <f aca="false">IF(A19="","",N(G19)-N(L19)-N(N19))</f>
        <v/>
      </c>
      <c r="Z19" s="21" t="str">
        <f aca="false">IF(OR(G19="",H19="",I19=""),"",ABS(H19-I19)*G19)</f>
        <v/>
      </c>
      <c r="AA19" s="22" t="str">
        <f aca="false">IF(OR(J19="",N(Z19)=0),"",ABS(J19-H19)/ABS(H19-I19))</f>
        <v/>
      </c>
      <c r="AB19" s="23" t="str">
        <f aca="false">IF(U19&lt;&gt;"Closed","",(N(L19)*N(M19)+N(N19)*N(O19)+Y19*Q19)/G19)</f>
        <v/>
      </c>
      <c r="AC19" s="24" t="str">
        <f aca="false">IF(U19&lt;&gt;"Closed","",IF($B19="Short",-1,1)*((N(M19)-H19)*N(L19)+(N(O19)-H19)*N(N19)+(Q19-H19)*Y19)-N(R19))</f>
        <v/>
      </c>
      <c r="AD19" s="25" t="str">
        <f aca="false">IF(OR(AC19="",N(Z19)=0),"",AC19/Z19)</f>
        <v/>
      </c>
      <c r="AE19" s="25" t="str">
        <f aca="false">IF(OR(S19="",N(Z19)=0),"",IF($B19="Short",-1,1)*(S19-H19)*G19/Z19)</f>
        <v/>
      </c>
      <c r="AF19" s="25" t="str">
        <f aca="false">IF(OR(T19="",N(Z19)=0),"",IF($B19="Short",-1,1)*(T19-H19)*G19/Z19)</f>
        <v/>
      </c>
      <c r="AG19" s="21" t="str">
        <f aca="false">IF(U19&lt;&gt;"Open","",Y19*MAX(0,IF($B19="Short",-1,1)*(H19-IF(K19="",I19,K19))))</f>
        <v/>
      </c>
      <c r="AH19" s="26" t="str">
        <f aca="false">IF(U19&lt;&gt;"Closed","",DATE(YEAR(P19),MONTH(P19),1))</f>
        <v/>
      </c>
      <c r="AI19" s="19" t="str">
        <f aca="false">IF(U19&lt;&gt;"Closed","",COUNTIFS($U$7:$U$506,"Closed",$P$7:$P$506,"&lt;"&amp;P19)+COUNTIFS($U$7:U19,"Closed",$P$7:P19,P19))</f>
        <v/>
      </c>
    </row>
    <row r="20" customFormat="false" ht="15" hidden="false" customHeight="false" outlineLevel="0" collapsed="false">
      <c r="A20" s="13"/>
      <c r="B20" s="14"/>
      <c r="C20" s="14"/>
      <c r="D20" s="14"/>
      <c r="E20" s="15"/>
      <c r="F20" s="15"/>
      <c r="G20" s="16"/>
      <c r="H20" s="17"/>
      <c r="I20" s="17"/>
      <c r="J20" s="17"/>
      <c r="K20" s="17"/>
      <c r="L20" s="16"/>
      <c r="M20" s="17"/>
      <c r="N20" s="16"/>
      <c r="O20" s="17"/>
      <c r="P20" s="15"/>
      <c r="Q20" s="17"/>
      <c r="R20" s="17"/>
      <c r="S20" s="17"/>
      <c r="T20" s="17"/>
      <c r="U20" s="18" t="str">
        <f aca="false">IF(A20="","",IF(N(G20)-N(L20)-N(N20)&lt;0,"Check shares",IF(AND(P20&lt;&gt;"",Q20&lt;&gt;""),"Closed","Open")))</f>
        <v/>
      </c>
      <c r="V20" s="19" t="str">
        <f aca="false">IF(OR(F20="",P20=""),"",NETWORKDAYS(F20,P20,Lists!$F$5:$F$40)-1)</f>
        <v/>
      </c>
      <c r="W20" s="18" t="str">
        <f aca="false">IF(V20="","",IF(V20=0,"Same day","Overnight"))</f>
        <v/>
      </c>
      <c r="X20" s="18" t="str">
        <f aca="false">IF(OR(E20="",F20=""),"",IF(AND(E20&gt;=F20,OR(P20="",E20&lt;=P20)),"Yes","No"))</f>
        <v/>
      </c>
      <c r="Y20" s="20" t="str">
        <f aca="false">IF(A20="","",N(G20)-N(L20)-N(N20))</f>
        <v/>
      </c>
      <c r="Z20" s="21" t="str">
        <f aca="false">IF(OR(G20="",H20="",I20=""),"",ABS(H20-I20)*G20)</f>
        <v/>
      </c>
      <c r="AA20" s="22" t="str">
        <f aca="false">IF(OR(J20="",N(Z20)=0),"",ABS(J20-H20)/ABS(H20-I20))</f>
        <v/>
      </c>
      <c r="AB20" s="23" t="str">
        <f aca="false">IF(U20&lt;&gt;"Closed","",(N(L20)*N(M20)+N(N20)*N(O20)+Y20*Q20)/G20)</f>
        <v/>
      </c>
      <c r="AC20" s="24" t="str">
        <f aca="false">IF(U20&lt;&gt;"Closed","",IF($B20="Short",-1,1)*((N(M20)-H20)*N(L20)+(N(O20)-H20)*N(N20)+(Q20-H20)*Y20)-N(R20))</f>
        <v/>
      </c>
      <c r="AD20" s="25" t="str">
        <f aca="false">IF(OR(AC20="",N(Z20)=0),"",AC20/Z20)</f>
        <v/>
      </c>
      <c r="AE20" s="25" t="str">
        <f aca="false">IF(OR(S20="",N(Z20)=0),"",IF($B20="Short",-1,1)*(S20-H20)*G20/Z20)</f>
        <v/>
      </c>
      <c r="AF20" s="25" t="str">
        <f aca="false">IF(OR(T20="",N(Z20)=0),"",IF($B20="Short",-1,1)*(T20-H20)*G20/Z20)</f>
        <v/>
      </c>
      <c r="AG20" s="21" t="str">
        <f aca="false">IF(U20&lt;&gt;"Open","",Y20*MAX(0,IF($B20="Short",-1,1)*(H20-IF(K20="",I20,K20))))</f>
        <v/>
      </c>
      <c r="AH20" s="26" t="str">
        <f aca="false">IF(U20&lt;&gt;"Closed","",DATE(YEAR(P20),MONTH(P20),1))</f>
        <v/>
      </c>
      <c r="AI20" s="19" t="str">
        <f aca="false">IF(U20&lt;&gt;"Closed","",COUNTIFS($U$7:$U$506,"Closed",$P$7:$P$506,"&lt;"&amp;P20)+COUNTIFS($U$7:U20,"Closed",$P$7:P20,P20))</f>
        <v/>
      </c>
    </row>
    <row r="21" customFormat="false" ht="15" hidden="false" customHeight="false" outlineLevel="0" collapsed="false">
      <c r="A21" s="13"/>
      <c r="B21" s="14"/>
      <c r="C21" s="14"/>
      <c r="D21" s="14"/>
      <c r="E21" s="15"/>
      <c r="F21" s="15"/>
      <c r="G21" s="16"/>
      <c r="H21" s="17"/>
      <c r="I21" s="17"/>
      <c r="J21" s="17"/>
      <c r="K21" s="17"/>
      <c r="L21" s="16"/>
      <c r="M21" s="17"/>
      <c r="N21" s="16"/>
      <c r="O21" s="17"/>
      <c r="P21" s="15"/>
      <c r="Q21" s="17"/>
      <c r="R21" s="17"/>
      <c r="S21" s="17"/>
      <c r="T21" s="17"/>
      <c r="U21" s="18" t="str">
        <f aca="false">IF(A21="","",IF(N(G21)-N(L21)-N(N21)&lt;0,"Check shares",IF(AND(P21&lt;&gt;"",Q21&lt;&gt;""),"Closed","Open")))</f>
        <v/>
      </c>
      <c r="V21" s="19" t="str">
        <f aca="false">IF(OR(F21="",P21=""),"",NETWORKDAYS(F21,P21,Lists!$F$5:$F$40)-1)</f>
        <v/>
      </c>
      <c r="W21" s="18" t="str">
        <f aca="false">IF(V21="","",IF(V21=0,"Same day","Overnight"))</f>
        <v/>
      </c>
      <c r="X21" s="18" t="str">
        <f aca="false">IF(OR(E21="",F21=""),"",IF(AND(E21&gt;=F21,OR(P21="",E21&lt;=P21)),"Yes","No"))</f>
        <v/>
      </c>
      <c r="Y21" s="20" t="str">
        <f aca="false">IF(A21="","",N(G21)-N(L21)-N(N21))</f>
        <v/>
      </c>
      <c r="Z21" s="21" t="str">
        <f aca="false">IF(OR(G21="",H21="",I21=""),"",ABS(H21-I21)*G21)</f>
        <v/>
      </c>
      <c r="AA21" s="22" t="str">
        <f aca="false">IF(OR(J21="",N(Z21)=0),"",ABS(J21-H21)/ABS(H21-I21))</f>
        <v/>
      </c>
      <c r="AB21" s="23" t="str">
        <f aca="false">IF(U21&lt;&gt;"Closed","",(N(L21)*N(M21)+N(N21)*N(O21)+Y21*Q21)/G21)</f>
        <v/>
      </c>
      <c r="AC21" s="24" t="str">
        <f aca="false">IF(U21&lt;&gt;"Closed","",IF($B21="Short",-1,1)*((N(M21)-H21)*N(L21)+(N(O21)-H21)*N(N21)+(Q21-H21)*Y21)-N(R21))</f>
        <v/>
      </c>
      <c r="AD21" s="25" t="str">
        <f aca="false">IF(OR(AC21="",N(Z21)=0),"",AC21/Z21)</f>
        <v/>
      </c>
      <c r="AE21" s="25" t="str">
        <f aca="false">IF(OR(S21="",N(Z21)=0),"",IF($B21="Short",-1,1)*(S21-H21)*G21/Z21)</f>
        <v/>
      </c>
      <c r="AF21" s="25" t="str">
        <f aca="false">IF(OR(T21="",N(Z21)=0),"",IF($B21="Short",-1,1)*(T21-H21)*G21/Z21)</f>
        <v/>
      </c>
      <c r="AG21" s="21" t="str">
        <f aca="false">IF(U21&lt;&gt;"Open","",Y21*MAX(0,IF($B21="Short",-1,1)*(H21-IF(K21="",I21,K21))))</f>
        <v/>
      </c>
      <c r="AH21" s="26" t="str">
        <f aca="false">IF(U21&lt;&gt;"Closed","",DATE(YEAR(P21),MONTH(P21),1))</f>
        <v/>
      </c>
      <c r="AI21" s="19" t="str">
        <f aca="false">IF(U21&lt;&gt;"Closed","",COUNTIFS($U$7:$U$506,"Closed",$P$7:$P$506,"&lt;"&amp;P21)+COUNTIFS($U$7:U21,"Closed",$P$7:P21,P21))</f>
        <v/>
      </c>
    </row>
    <row r="22" customFormat="false" ht="15" hidden="false" customHeight="false" outlineLevel="0" collapsed="false">
      <c r="A22" s="13"/>
      <c r="B22" s="14"/>
      <c r="C22" s="14"/>
      <c r="D22" s="14"/>
      <c r="E22" s="15"/>
      <c r="F22" s="15"/>
      <c r="G22" s="16"/>
      <c r="H22" s="17"/>
      <c r="I22" s="17"/>
      <c r="J22" s="17"/>
      <c r="K22" s="17"/>
      <c r="L22" s="16"/>
      <c r="M22" s="17"/>
      <c r="N22" s="16"/>
      <c r="O22" s="17"/>
      <c r="P22" s="15"/>
      <c r="Q22" s="17"/>
      <c r="R22" s="17"/>
      <c r="S22" s="17"/>
      <c r="T22" s="17"/>
      <c r="U22" s="18" t="str">
        <f aca="false">IF(A22="","",IF(N(G22)-N(L22)-N(N22)&lt;0,"Check shares",IF(AND(P22&lt;&gt;"",Q22&lt;&gt;""),"Closed","Open")))</f>
        <v/>
      </c>
      <c r="V22" s="19" t="str">
        <f aca="false">IF(OR(F22="",P22=""),"",NETWORKDAYS(F22,P22,Lists!$F$5:$F$40)-1)</f>
        <v/>
      </c>
      <c r="W22" s="18" t="str">
        <f aca="false">IF(V22="","",IF(V22=0,"Same day","Overnight"))</f>
        <v/>
      </c>
      <c r="X22" s="18" t="str">
        <f aca="false">IF(OR(E22="",F22=""),"",IF(AND(E22&gt;=F22,OR(P22="",E22&lt;=P22)),"Yes","No"))</f>
        <v/>
      </c>
      <c r="Y22" s="20" t="str">
        <f aca="false">IF(A22="","",N(G22)-N(L22)-N(N22))</f>
        <v/>
      </c>
      <c r="Z22" s="21" t="str">
        <f aca="false">IF(OR(G22="",H22="",I22=""),"",ABS(H22-I22)*G22)</f>
        <v/>
      </c>
      <c r="AA22" s="22" t="str">
        <f aca="false">IF(OR(J22="",N(Z22)=0),"",ABS(J22-H22)/ABS(H22-I22))</f>
        <v/>
      </c>
      <c r="AB22" s="23" t="str">
        <f aca="false">IF(U22&lt;&gt;"Closed","",(N(L22)*N(M22)+N(N22)*N(O22)+Y22*Q22)/G22)</f>
        <v/>
      </c>
      <c r="AC22" s="24" t="str">
        <f aca="false">IF(U22&lt;&gt;"Closed","",IF($B22="Short",-1,1)*((N(M22)-H22)*N(L22)+(N(O22)-H22)*N(N22)+(Q22-H22)*Y22)-N(R22))</f>
        <v/>
      </c>
      <c r="AD22" s="25" t="str">
        <f aca="false">IF(OR(AC22="",N(Z22)=0),"",AC22/Z22)</f>
        <v/>
      </c>
      <c r="AE22" s="25" t="str">
        <f aca="false">IF(OR(S22="",N(Z22)=0),"",IF($B22="Short",-1,1)*(S22-H22)*G22/Z22)</f>
        <v/>
      </c>
      <c r="AF22" s="25" t="str">
        <f aca="false">IF(OR(T22="",N(Z22)=0),"",IF($B22="Short",-1,1)*(T22-H22)*G22/Z22)</f>
        <v/>
      </c>
      <c r="AG22" s="21" t="str">
        <f aca="false">IF(U22&lt;&gt;"Open","",Y22*MAX(0,IF($B22="Short",-1,1)*(H22-IF(K22="",I22,K22))))</f>
        <v/>
      </c>
      <c r="AH22" s="26" t="str">
        <f aca="false">IF(U22&lt;&gt;"Closed","",DATE(YEAR(P22),MONTH(P22),1))</f>
        <v/>
      </c>
      <c r="AI22" s="19" t="str">
        <f aca="false">IF(U22&lt;&gt;"Closed","",COUNTIFS($U$7:$U$506,"Closed",$P$7:$P$506,"&lt;"&amp;P22)+COUNTIFS($U$7:U22,"Closed",$P$7:P22,P22))</f>
        <v/>
      </c>
    </row>
    <row r="23" customFormat="false" ht="15" hidden="false" customHeight="false" outlineLevel="0" collapsed="false">
      <c r="A23" s="13"/>
      <c r="B23" s="14"/>
      <c r="C23" s="14"/>
      <c r="D23" s="14"/>
      <c r="E23" s="15"/>
      <c r="F23" s="15"/>
      <c r="G23" s="16"/>
      <c r="H23" s="17"/>
      <c r="I23" s="17"/>
      <c r="J23" s="17"/>
      <c r="K23" s="17"/>
      <c r="L23" s="16"/>
      <c r="M23" s="17"/>
      <c r="N23" s="16"/>
      <c r="O23" s="17"/>
      <c r="P23" s="15"/>
      <c r="Q23" s="17"/>
      <c r="R23" s="17"/>
      <c r="S23" s="17"/>
      <c r="T23" s="17"/>
      <c r="U23" s="18" t="str">
        <f aca="false">IF(A23="","",IF(N(G23)-N(L23)-N(N23)&lt;0,"Check shares",IF(AND(P23&lt;&gt;"",Q23&lt;&gt;""),"Closed","Open")))</f>
        <v/>
      </c>
      <c r="V23" s="19" t="str">
        <f aca="false">IF(OR(F23="",P23=""),"",NETWORKDAYS(F23,P23,Lists!$F$5:$F$40)-1)</f>
        <v/>
      </c>
      <c r="W23" s="18" t="str">
        <f aca="false">IF(V23="","",IF(V23=0,"Same day","Overnight"))</f>
        <v/>
      </c>
      <c r="X23" s="18" t="str">
        <f aca="false">IF(OR(E23="",F23=""),"",IF(AND(E23&gt;=F23,OR(P23="",E23&lt;=P23)),"Yes","No"))</f>
        <v/>
      </c>
      <c r="Y23" s="20" t="str">
        <f aca="false">IF(A23="","",N(G23)-N(L23)-N(N23))</f>
        <v/>
      </c>
      <c r="Z23" s="21" t="str">
        <f aca="false">IF(OR(G23="",H23="",I23=""),"",ABS(H23-I23)*G23)</f>
        <v/>
      </c>
      <c r="AA23" s="22" t="str">
        <f aca="false">IF(OR(J23="",N(Z23)=0),"",ABS(J23-H23)/ABS(H23-I23))</f>
        <v/>
      </c>
      <c r="AB23" s="23" t="str">
        <f aca="false">IF(U23&lt;&gt;"Closed","",(N(L23)*N(M23)+N(N23)*N(O23)+Y23*Q23)/G23)</f>
        <v/>
      </c>
      <c r="AC23" s="24" t="str">
        <f aca="false">IF(U23&lt;&gt;"Closed","",IF($B23="Short",-1,1)*((N(M23)-H23)*N(L23)+(N(O23)-H23)*N(N23)+(Q23-H23)*Y23)-N(R23))</f>
        <v/>
      </c>
      <c r="AD23" s="25" t="str">
        <f aca="false">IF(OR(AC23="",N(Z23)=0),"",AC23/Z23)</f>
        <v/>
      </c>
      <c r="AE23" s="25" t="str">
        <f aca="false">IF(OR(S23="",N(Z23)=0),"",IF($B23="Short",-1,1)*(S23-H23)*G23/Z23)</f>
        <v/>
      </c>
      <c r="AF23" s="25" t="str">
        <f aca="false">IF(OR(T23="",N(Z23)=0),"",IF($B23="Short",-1,1)*(T23-H23)*G23/Z23)</f>
        <v/>
      </c>
      <c r="AG23" s="21" t="str">
        <f aca="false">IF(U23&lt;&gt;"Open","",Y23*MAX(0,IF($B23="Short",-1,1)*(H23-IF(K23="",I23,K23))))</f>
        <v/>
      </c>
      <c r="AH23" s="26" t="str">
        <f aca="false">IF(U23&lt;&gt;"Closed","",DATE(YEAR(P23),MONTH(P23),1))</f>
        <v/>
      </c>
      <c r="AI23" s="19" t="str">
        <f aca="false">IF(U23&lt;&gt;"Closed","",COUNTIFS($U$7:$U$506,"Closed",$P$7:$P$506,"&lt;"&amp;P23)+COUNTIFS($U$7:U23,"Closed",$P$7:P23,P23))</f>
        <v/>
      </c>
    </row>
    <row r="24" customFormat="false" ht="15" hidden="false" customHeight="false" outlineLevel="0" collapsed="false">
      <c r="A24" s="13"/>
      <c r="B24" s="14"/>
      <c r="C24" s="14"/>
      <c r="D24" s="14"/>
      <c r="E24" s="15"/>
      <c r="F24" s="15"/>
      <c r="G24" s="16"/>
      <c r="H24" s="17"/>
      <c r="I24" s="17"/>
      <c r="J24" s="17"/>
      <c r="K24" s="17"/>
      <c r="L24" s="16"/>
      <c r="M24" s="17"/>
      <c r="N24" s="16"/>
      <c r="O24" s="17"/>
      <c r="P24" s="15"/>
      <c r="Q24" s="17"/>
      <c r="R24" s="17"/>
      <c r="S24" s="17"/>
      <c r="T24" s="17"/>
      <c r="U24" s="18" t="str">
        <f aca="false">IF(A24="","",IF(N(G24)-N(L24)-N(N24)&lt;0,"Check shares",IF(AND(P24&lt;&gt;"",Q24&lt;&gt;""),"Closed","Open")))</f>
        <v/>
      </c>
      <c r="V24" s="19" t="str">
        <f aca="false">IF(OR(F24="",P24=""),"",NETWORKDAYS(F24,P24,Lists!$F$5:$F$40)-1)</f>
        <v/>
      </c>
      <c r="W24" s="18" t="str">
        <f aca="false">IF(V24="","",IF(V24=0,"Same day","Overnight"))</f>
        <v/>
      </c>
      <c r="X24" s="18" t="str">
        <f aca="false">IF(OR(E24="",F24=""),"",IF(AND(E24&gt;=F24,OR(P24="",E24&lt;=P24)),"Yes","No"))</f>
        <v/>
      </c>
      <c r="Y24" s="20" t="str">
        <f aca="false">IF(A24="","",N(G24)-N(L24)-N(N24))</f>
        <v/>
      </c>
      <c r="Z24" s="21" t="str">
        <f aca="false">IF(OR(G24="",H24="",I24=""),"",ABS(H24-I24)*G24)</f>
        <v/>
      </c>
      <c r="AA24" s="22" t="str">
        <f aca="false">IF(OR(J24="",N(Z24)=0),"",ABS(J24-H24)/ABS(H24-I24))</f>
        <v/>
      </c>
      <c r="AB24" s="23" t="str">
        <f aca="false">IF(U24&lt;&gt;"Closed","",(N(L24)*N(M24)+N(N24)*N(O24)+Y24*Q24)/G24)</f>
        <v/>
      </c>
      <c r="AC24" s="24" t="str">
        <f aca="false">IF(U24&lt;&gt;"Closed","",IF($B24="Short",-1,1)*((N(M24)-H24)*N(L24)+(N(O24)-H24)*N(N24)+(Q24-H24)*Y24)-N(R24))</f>
        <v/>
      </c>
      <c r="AD24" s="25" t="str">
        <f aca="false">IF(OR(AC24="",N(Z24)=0),"",AC24/Z24)</f>
        <v/>
      </c>
      <c r="AE24" s="25" t="str">
        <f aca="false">IF(OR(S24="",N(Z24)=0),"",IF($B24="Short",-1,1)*(S24-H24)*G24/Z24)</f>
        <v/>
      </c>
      <c r="AF24" s="25" t="str">
        <f aca="false">IF(OR(T24="",N(Z24)=0),"",IF($B24="Short",-1,1)*(T24-H24)*G24/Z24)</f>
        <v/>
      </c>
      <c r="AG24" s="21" t="str">
        <f aca="false">IF(U24&lt;&gt;"Open","",Y24*MAX(0,IF($B24="Short",-1,1)*(H24-IF(K24="",I24,K24))))</f>
        <v/>
      </c>
      <c r="AH24" s="26" t="str">
        <f aca="false">IF(U24&lt;&gt;"Closed","",DATE(YEAR(P24),MONTH(P24),1))</f>
        <v/>
      </c>
      <c r="AI24" s="19" t="str">
        <f aca="false">IF(U24&lt;&gt;"Closed","",COUNTIFS($U$7:$U$506,"Closed",$P$7:$P$506,"&lt;"&amp;P24)+COUNTIFS($U$7:U24,"Closed",$P$7:P24,P24))</f>
        <v/>
      </c>
    </row>
    <row r="25" customFormat="false" ht="15" hidden="false" customHeight="false" outlineLevel="0" collapsed="false">
      <c r="A25" s="13"/>
      <c r="B25" s="14"/>
      <c r="C25" s="14"/>
      <c r="D25" s="14"/>
      <c r="E25" s="15"/>
      <c r="F25" s="15"/>
      <c r="G25" s="16"/>
      <c r="H25" s="17"/>
      <c r="I25" s="17"/>
      <c r="J25" s="17"/>
      <c r="K25" s="17"/>
      <c r="L25" s="16"/>
      <c r="M25" s="17"/>
      <c r="N25" s="16"/>
      <c r="O25" s="17"/>
      <c r="P25" s="15"/>
      <c r="Q25" s="17"/>
      <c r="R25" s="17"/>
      <c r="S25" s="17"/>
      <c r="T25" s="17"/>
      <c r="U25" s="18" t="str">
        <f aca="false">IF(A25="","",IF(N(G25)-N(L25)-N(N25)&lt;0,"Check shares",IF(AND(P25&lt;&gt;"",Q25&lt;&gt;""),"Closed","Open")))</f>
        <v/>
      </c>
      <c r="V25" s="19" t="str">
        <f aca="false">IF(OR(F25="",P25=""),"",NETWORKDAYS(F25,P25,Lists!$F$5:$F$40)-1)</f>
        <v/>
      </c>
      <c r="W25" s="18" t="str">
        <f aca="false">IF(V25="","",IF(V25=0,"Same day","Overnight"))</f>
        <v/>
      </c>
      <c r="X25" s="18" t="str">
        <f aca="false">IF(OR(E25="",F25=""),"",IF(AND(E25&gt;=F25,OR(P25="",E25&lt;=P25)),"Yes","No"))</f>
        <v/>
      </c>
      <c r="Y25" s="20" t="str">
        <f aca="false">IF(A25="","",N(G25)-N(L25)-N(N25))</f>
        <v/>
      </c>
      <c r="Z25" s="21" t="str">
        <f aca="false">IF(OR(G25="",H25="",I25=""),"",ABS(H25-I25)*G25)</f>
        <v/>
      </c>
      <c r="AA25" s="22" t="str">
        <f aca="false">IF(OR(J25="",N(Z25)=0),"",ABS(J25-H25)/ABS(H25-I25))</f>
        <v/>
      </c>
      <c r="AB25" s="23" t="str">
        <f aca="false">IF(U25&lt;&gt;"Closed","",(N(L25)*N(M25)+N(N25)*N(O25)+Y25*Q25)/G25)</f>
        <v/>
      </c>
      <c r="AC25" s="24" t="str">
        <f aca="false">IF(U25&lt;&gt;"Closed","",IF($B25="Short",-1,1)*((N(M25)-H25)*N(L25)+(N(O25)-H25)*N(N25)+(Q25-H25)*Y25)-N(R25))</f>
        <v/>
      </c>
      <c r="AD25" s="25" t="str">
        <f aca="false">IF(OR(AC25="",N(Z25)=0),"",AC25/Z25)</f>
        <v/>
      </c>
      <c r="AE25" s="25" t="str">
        <f aca="false">IF(OR(S25="",N(Z25)=0),"",IF($B25="Short",-1,1)*(S25-H25)*G25/Z25)</f>
        <v/>
      </c>
      <c r="AF25" s="25" t="str">
        <f aca="false">IF(OR(T25="",N(Z25)=0),"",IF($B25="Short",-1,1)*(T25-H25)*G25/Z25)</f>
        <v/>
      </c>
      <c r="AG25" s="21" t="str">
        <f aca="false">IF(U25&lt;&gt;"Open","",Y25*MAX(0,IF($B25="Short",-1,1)*(H25-IF(K25="",I25,K25))))</f>
        <v/>
      </c>
      <c r="AH25" s="26" t="str">
        <f aca="false">IF(U25&lt;&gt;"Closed","",DATE(YEAR(P25),MONTH(P25),1))</f>
        <v/>
      </c>
      <c r="AI25" s="19" t="str">
        <f aca="false">IF(U25&lt;&gt;"Closed","",COUNTIFS($U$7:$U$506,"Closed",$P$7:$P$506,"&lt;"&amp;P25)+COUNTIFS($U$7:U25,"Closed",$P$7:P25,P25))</f>
        <v/>
      </c>
    </row>
    <row r="26" customFormat="false" ht="15" hidden="false" customHeight="false" outlineLevel="0" collapsed="false">
      <c r="A26" s="13"/>
      <c r="B26" s="14"/>
      <c r="C26" s="14"/>
      <c r="D26" s="14"/>
      <c r="E26" s="15"/>
      <c r="F26" s="15"/>
      <c r="G26" s="16"/>
      <c r="H26" s="17"/>
      <c r="I26" s="17"/>
      <c r="J26" s="17"/>
      <c r="K26" s="17"/>
      <c r="L26" s="16"/>
      <c r="M26" s="17"/>
      <c r="N26" s="16"/>
      <c r="O26" s="17"/>
      <c r="P26" s="15"/>
      <c r="Q26" s="17"/>
      <c r="R26" s="17"/>
      <c r="S26" s="17"/>
      <c r="T26" s="17"/>
      <c r="U26" s="18" t="str">
        <f aca="false">IF(A26="","",IF(N(G26)-N(L26)-N(N26)&lt;0,"Check shares",IF(AND(P26&lt;&gt;"",Q26&lt;&gt;""),"Closed","Open")))</f>
        <v/>
      </c>
      <c r="V26" s="19" t="str">
        <f aca="false">IF(OR(F26="",P26=""),"",NETWORKDAYS(F26,P26,Lists!$F$5:$F$40)-1)</f>
        <v/>
      </c>
      <c r="W26" s="18" t="str">
        <f aca="false">IF(V26="","",IF(V26=0,"Same day","Overnight"))</f>
        <v/>
      </c>
      <c r="X26" s="18" t="str">
        <f aca="false">IF(OR(E26="",F26=""),"",IF(AND(E26&gt;=F26,OR(P26="",E26&lt;=P26)),"Yes","No"))</f>
        <v/>
      </c>
      <c r="Y26" s="20" t="str">
        <f aca="false">IF(A26="","",N(G26)-N(L26)-N(N26))</f>
        <v/>
      </c>
      <c r="Z26" s="21" t="str">
        <f aca="false">IF(OR(G26="",H26="",I26=""),"",ABS(H26-I26)*G26)</f>
        <v/>
      </c>
      <c r="AA26" s="22" t="str">
        <f aca="false">IF(OR(J26="",N(Z26)=0),"",ABS(J26-H26)/ABS(H26-I26))</f>
        <v/>
      </c>
      <c r="AB26" s="23" t="str">
        <f aca="false">IF(U26&lt;&gt;"Closed","",(N(L26)*N(M26)+N(N26)*N(O26)+Y26*Q26)/G26)</f>
        <v/>
      </c>
      <c r="AC26" s="24" t="str">
        <f aca="false">IF(U26&lt;&gt;"Closed","",IF($B26="Short",-1,1)*((N(M26)-H26)*N(L26)+(N(O26)-H26)*N(N26)+(Q26-H26)*Y26)-N(R26))</f>
        <v/>
      </c>
      <c r="AD26" s="25" t="str">
        <f aca="false">IF(OR(AC26="",N(Z26)=0),"",AC26/Z26)</f>
        <v/>
      </c>
      <c r="AE26" s="25" t="str">
        <f aca="false">IF(OR(S26="",N(Z26)=0),"",IF($B26="Short",-1,1)*(S26-H26)*G26/Z26)</f>
        <v/>
      </c>
      <c r="AF26" s="25" t="str">
        <f aca="false">IF(OR(T26="",N(Z26)=0),"",IF($B26="Short",-1,1)*(T26-H26)*G26/Z26)</f>
        <v/>
      </c>
      <c r="AG26" s="21" t="str">
        <f aca="false">IF(U26&lt;&gt;"Open","",Y26*MAX(0,IF($B26="Short",-1,1)*(H26-IF(K26="",I26,K26))))</f>
        <v/>
      </c>
      <c r="AH26" s="26" t="str">
        <f aca="false">IF(U26&lt;&gt;"Closed","",DATE(YEAR(P26),MONTH(P26),1))</f>
        <v/>
      </c>
      <c r="AI26" s="19" t="str">
        <f aca="false">IF(U26&lt;&gt;"Closed","",COUNTIFS($U$7:$U$506,"Closed",$P$7:$P$506,"&lt;"&amp;P26)+COUNTIFS($U$7:U26,"Closed",$P$7:P26,P26))</f>
        <v/>
      </c>
    </row>
    <row r="27" customFormat="false" ht="15" hidden="false" customHeight="false" outlineLevel="0" collapsed="false">
      <c r="A27" s="13"/>
      <c r="B27" s="14"/>
      <c r="C27" s="14"/>
      <c r="D27" s="14"/>
      <c r="E27" s="15"/>
      <c r="F27" s="15"/>
      <c r="G27" s="16"/>
      <c r="H27" s="17"/>
      <c r="I27" s="17"/>
      <c r="J27" s="17"/>
      <c r="K27" s="17"/>
      <c r="L27" s="16"/>
      <c r="M27" s="17"/>
      <c r="N27" s="16"/>
      <c r="O27" s="17"/>
      <c r="P27" s="15"/>
      <c r="Q27" s="17"/>
      <c r="R27" s="17"/>
      <c r="S27" s="17"/>
      <c r="T27" s="17"/>
      <c r="U27" s="18" t="str">
        <f aca="false">IF(A27="","",IF(N(G27)-N(L27)-N(N27)&lt;0,"Check shares",IF(AND(P27&lt;&gt;"",Q27&lt;&gt;""),"Closed","Open")))</f>
        <v/>
      </c>
      <c r="V27" s="19" t="str">
        <f aca="false">IF(OR(F27="",P27=""),"",NETWORKDAYS(F27,P27,Lists!$F$5:$F$40)-1)</f>
        <v/>
      </c>
      <c r="W27" s="18" t="str">
        <f aca="false">IF(V27="","",IF(V27=0,"Same day","Overnight"))</f>
        <v/>
      </c>
      <c r="X27" s="18" t="str">
        <f aca="false">IF(OR(E27="",F27=""),"",IF(AND(E27&gt;=F27,OR(P27="",E27&lt;=P27)),"Yes","No"))</f>
        <v/>
      </c>
      <c r="Y27" s="20" t="str">
        <f aca="false">IF(A27="","",N(G27)-N(L27)-N(N27))</f>
        <v/>
      </c>
      <c r="Z27" s="21" t="str">
        <f aca="false">IF(OR(G27="",H27="",I27=""),"",ABS(H27-I27)*G27)</f>
        <v/>
      </c>
      <c r="AA27" s="22" t="str">
        <f aca="false">IF(OR(J27="",N(Z27)=0),"",ABS(J27-H27)/ABS(H27-I27))</f>
        <v/>
      </c>
      <c r="AB27" s="23" t="str">
        <f aca="false">IF(U27&lt;&gt;"Closed","",(N(L27)*N(M27)+N(N27)*N(O27)+Y27*Q27)/G27)</f>
        <v/>
      </c>
      <c r="AC27" s="24" t="str">
        <f aca="false">IF(U27&lt;&gt;"Closed","",IF($B27="Short",-1,1)*((N(M27)-H27)*N(L27)+(N(O27)-H27)*N(N27)+(Q27-H27)*Y27)-N(R27))</f>
        <v/>
      </c>
      <c r="AD27" s="25" t="str">
        <f aca="false">IF(OR(AC27="",N(Z27)=0),"",AC27/Z27)</f>
        <v/>
      </c>
      <c r="AE27" s="25" t="str">
        <f aca="false">IF(OR(S27="",N(Z27)=0),"",IF($B27="Short",-1,1)*(S27-H27)*G27/Z27)</f>
        <v/>
      </c>
      <c r="AF27" s="25" t="str">
        <f aca="false">IF(OR(T27="",N(Z27)=0),"",IF($B27="Short",-1,1)*(T27-H27)*G27/Z27)</f>
        <v/>
      </c>
      <c r="AG27" s="21" t="str">
        <f aca="false">IF(U27&lt;&gt;"Open","",Y27*MAX(0,IF($B27="Short",-1,1)*(H27-IF(K27="",I27,K27))))</f>
        <v/>
      </c>
      <c r="AH27" s="26" t="str">
        <f aca="false">IF(U27&lt;&gt;"Closed","",DATE(YEAR(P27),MONTH(P27),1))</f>
        <v/>
      </c>
      <c r="AI27" s="19" t="str">
        <f aca="false">IF(U27&lt;&gt;"Closed","",COUNTIFS($U$7:$U$506,"Closed",$P$7:$P$506,"&lt;"&amp;P27)+COUNTIFS($U$7:U27,"Closed",$P$7:P27,P27))</f>
        <v/>
      </c>
    </row>
    <row r="28" customFormat="false" ht="15" hidden="false" customHeight="false" outlineLevel="0" collapsed="false">
      <c r="A28" s="13"/>
      <c r="B28" s="14"/>
      <c r="C28" s="14"/>
      <c r="D28" s="14"/>
      <c r="E28" s="15"/>
      <c r="F28" s="15"/>
      <c r="G28" s="16"/>
      <c r="H28" s="17"/>
      <c r="I28" s="17"/>
      <c r="J28" s="17"/>
      <c r="K28" s="17"/>
      <c r="L28" s="16"/>
      <c r="M28" s="17"/>
      <c r="N28" s="16"/>
      <c r="O28" s="17"/>
      <c r="P28" s="15"/>
      <c r="Q28" s="17"/>
      <c r="R28" s="17"/>
      <c r="S28" s="17"/>
      <c r="T28" s="17"/>
      <c r="U28" s="18" t="str">
        <f aca="false">IF(A28="","",IF(N(G28)-N(L28)-N(N28)&lt;0,"Check shares",IF(AND(P28&lt;&gt;"",Q28&lt;&gt;""),"Closed","Open")))</f>
        <v/>
      </c>
      <c r="V28" s="19" t="str">
        <f aca="false">IF(OR(F28="",P28=""),"",NETWORKDAYS(F28,P28,Lists!$F$5:$F$40)-1)</f>
        <v/>
      </c>
      <c r="W28" s="18" t="str">
        <f aca="false">IF(V28="","",IF(V28=0,"Same day","Overnight"))</f>
        <v/>
      </c>
      <c r="X28" s="18" t="str">
        <f aca="false">IF(OR(E28="",F28=""),"",IF(AND(E28&gt;=F28,OR(P28="",E28&lt;=P28)),"Yes","No"))</f>
        <v/>
      </c>
      <c r="Y28" s="20" t="str">
        <f aca="false">IF(A28="","",N(G28)-N(L28)-N(N28))</f>
        <v/>
      </c>
      <c r="Z28" s="21" t="str">
        <f aca="false">IF(OR(G28="",H28="",I28=""),"",ABS(H28-I28)*G28)</f>
        <v/>
      </c>
      <c r="AA28" s="22" t="str">
        <f aca="false">IF(OR(J28="",N(Z28)=0),"",ABS(J28-H28)/ABS(H28-I28))</f>
        <v/>
      </c>
      <c r="AB28" s="23" t="str">
        <f aca="false">IF(U28&lt;&gt;"Closed","",(N(L28)*N(M28)+N(N28)*N(O28)+Y28*Q28)/G28)</f>
        <v/>
      </c>
      <c r="AC28" s="24" t="str">
        <f aca="false">IF(U28&lt;&gt;"Closed","",IF($B28="Short",-1,1)*((N(M28)-H28)*N(L28)+(N(O28)-H28)*N(N28)+(Q28-H28)*Y28)-N(R28))</f>
        <v/>
      </c>
      <c r="AD28" s="25" t="str">
        <f aca="false">IF(OR(AC28="",N(Z28)=0),"",AC28/Z28)</f>
        <v/>
      </c>
      <c r="AE28" s="25" t="str">
        <f aca="false">IF(OR(S28="",N(Z28)=0),"",IF($B28="Short",-1,1)*(S28-H28)*G28/Z28)</f>
        <v/>
      </c>
      <c r="AF28" s="25" t="str">
        <f aca="false">IF(OR(T28="",N(Z28)=0),"",IF($B28="Short",-1,1)*(T28-H28)*G28/Z28)</f>
        <v/>
      </c>
      <c r="AG28" s="21" t="str">
        <f aca="false">IF(U28&lt;&gt;"Open","",Y28*MAX(0,IF($B28="Short",-1,1)*(H28-IF(K28="",I28,K28))))</f>
        <v/>
      </c>
      <c r="AH28" s="26" t="str">
        <f aca="false">IF(U28&lt;&gt;"Closed","",DATE(YEAR(P28),MONTH(P28),1))</f>
        <v/>
      </c>
      <c r="AI28" s="19" t="str">
        <f aca="false">IF(U28&lt;&gt;"Closed","",COUNTIFS($U$7:$U$506,"Closed",$P$7:$P$506,"&lt;"&amp;P28)+COUNTIFS($U$7:U28,"Closed",$P$7:P28,P28))</f>
        <v/>
      </c>
    </row>
    <row r="29" customFormat="false" ht="15" hidden="false" customHeight="false" outlineLevel="0" collapsed="false">
      <c r="A29" s="13"/>
      <c r="B29" s="14"/>
      <c r="C29" s="14"/>
      <c r="D29" s="14"/>
      <c r="E29" s="15"/>
      <c r="F29" s="15"/>
      <c r="G29" s="16"/>
      <c r="H29" s="17"/>
      <c r="I29" s="17"/>
      <c r="J29" s="17"/>
      <c r="K29" s="17"/>
      <c r="L29" s="16"/>
      <c r="M29" s="17"/>
      <c r="N29" s="16"/>
      <c r="O29" s="17"/>
      <c r="P29" s="15"/>
      <c r="Q29" s="17"/>
      <c r="R29" s="17"/>
      <c r="S29" s="17"/>
      <c r="T29" s="17"/>
      <c r="U29" s="18" t="str">
        <f aca="false">IF(A29="","",IF(N(G29)-N(L29)-N(N29)&lt;0,"Check shares",IF(AND(P29&lt;&gt;"",Q29&lt;&gt;""),"Closed","Open")))</f>
        <v/>
      </c>
      <c r="V29" s="19" t="str">
        <f aca="false">IF(OR(F29="",P29=""),"",NETWORKDAYS(F29,P29,Lists!$F$5:$F$40)-1)</f>
        <v/>
      </c>
      <c r="W29" s="18" t="str">
        <f aca="false">IF(V29="","",IF(V29=0,"Same day","Overnight"))</f>
        <v/>
      </c>
      <c r="X29" s="18" t="str">
        <f aca="false">IF(OR(E29="",F29=""),"",IF(AND(E29&gt;=F29,OR(P29="",E29&lt;=P29)),"Yes","No"))</f>
        <v/>
      </c>
      <c r="Y29" s="20" t="str">
        <f aca="false">IF(A29="","",N(G29)-N(L29)-N(N29))</f>
        <v/>
      </c>
      <c r="Z29" s="21" t="str">
        <f aca="false">IF(OR(G29="",H29="",I29=""),"",ABS(H29-I29)*G29)</f>
        <v/>
      </c>
      <c r="AA29" s="22" t="str">
        <f aca="false">IF(OR(J29="",N(Z29)=0),"",ABS(J29-H29)/ABS(H29-I29))</f>
        <v/>
      </c>
      <c r="AB29" s="23" t="str">
        <f aca="false">IF(U29&lt;&gt;"Closed","",(N(L29)*N(M29)+N(N29)*N(O29)+Y29*Q29)/G29)</f>
        <v/>
      </c>
      <c r="AC29" s="24" t="str">
        <f aca="false">IF(U29&lt;&gt;"Closed","",IF($B29="Short",-1,1)*((N(M29)-H29)*N(L29)+(N(O29)-H29)*N(N29)+(Q29-H29)*Y29)-N(R29))</f>
        <v/>
      </c>
      <c r="AD29" s="25" t="str">
        <f aca="false">IF(OR(AC29="",N(Z29)=0),"",AC29/Z29)</f>
        <v/>
      </c>
      <c r="AE29" s="25" t="str">
        <f aca="false">IF(OR(S29="",N(Z29)=0),"",IF($B29="Short",-1,1)*(S29-H29)*G29/Z29)</f>
        <v/>
      </c>
      <c r="AF29" s="25" t="str">
        <f aca="false">IF(OR(T29="",N(Z29)=0),"",IF($B29="Short",-1,1)*(T29-H29)*G29/Z29)</f>
        <v/>
      </c>
      <c r="AG29" s="21" t="str">
        <f aca="false">IF(U29&lt;&gt;"Open","",Y29*MAX(0,IF($B29="Short",-1,1)*(H29-IF(K29="",I29,K29))))</f>
        <v/>
      </c>
      <c r="AH29" s="26" t="str">
        <f aca="false">IF(U29&lt;&gt;"Closed","",DATE(YEAR(P29),MONTH(P29),1))</f>
        <v/>
      </c>
      <c r="AI29" s="19" t="str">
        <f aca="false">IF(U29&lt;&gt;"Closed","",COUNTIFS($U$7:$U$506,"Closed",$P$7:$P$506,"&lt;"&amp;P29)+COUNTIFS($U$7:U29,"Closed",$P$7:P29,P29))</f>
        <v/>
      </c>
    </row>
    <row r="30" customFormat="false" ht="15" hidden="false" customHeight="false" outlineLevel="0" collapsed="false">
      <c r="A30" s="13"/>
      <c r="B30" s="14"/>
      <c r="C30" s="14"/>
      <c r="D30" s="14"/>
      <c r="E30" s="15"/>
      <c r="F30" s="15"/>
      <c r="G30" s="16"/>
      <c r="H30" s="17"/>
      <c r="I30" s="17"/>
      <c r="J30" s="17"/>
      <c r="K30" s="17"/>
      <c r="L30" s="16"/>
      <c r="M30" s="17"/>
      <c r="N30" s="16"/>
      <c r="O30" s="17"/>
      <c r="P30" s="15"/>
      <c r="Q30" s="17"/>
      <c r="R30" s="17"/>
      <c r="S30" s="17"/>
      <c r="T30" s="17"/>
      <c r="U30" s="18" t="str">
        <f aca="false">IF(A30="","",IF(N(G30)-N(L30)-N(N30)&lt;0,"Check shares",IF(AND(P30&lt;&gt;"",Q30&lt;&gt;""),"Closed","Open")))</f>
        <v/>
      </c>
      <c r="V30" s="19" t="str">
        <f aca="false">IF(OR(F30="",P30=""),"",NETWORKDAYS(F30,P30,Lists!$F$5:$F$40)-1)</f>
        <v/>
      </c>
      <c r="W30" s="18" t="str">
        <f aca="false">IF(V30="","",IF(V30=0,"Same day","Overnight"))</f>
        <v/>
      </c>
      <c r="X30" s="18" t="str">
        <f aca="false">IF(OR(E30="",F30=""),"",IF(AND(E30&gt;=F30,OR(P30="",E30&lt;=P30)),"Yes","No"))</f>
        <v/>
      </c>
      <c r="Y30" s="20" t="str">
        <f aca="false">IF(A30="","",N(G30)-N(L30)-N(N30))</f>
        <v/>
      </c>
      <c r="Z30" s="21" t="str">
        <f aca="false">IF(OR(G30="",H30="",I30=""),"",ABS(H30-I30)*G30)</f>
        <v/>
      </c>
      <c r="AA30" s="22" t="str">
        <f aca="false">IF(OR(J30="",N(Z30)=0),"",ABS(J30-H30)/ABS(H30-I30))</f>
        <v/>
      </c>
      <c r="AB30" s="23" t="str">
        <f aca="false">IF(U30&lt;&gt;"Closed","",(N(L30)*N(M30)+N(N30)*N(O30)+Y30*Q30)/G30)</f>
        <v/>
      </c>
      <c r="AC30" s="24" t="str">
        <f aca="false">IF(U30&lt;&gt;"Closed","",IF($B30="Short",-1,1)*((N(M30)-H30)*N(L30)+(N(O30)-H30)*N(N30)+(Q30-H30)*Y30)-N(R30))</f>
        <v/>
      </c>
      <c r="AD30" s="25" t="str">
        <f aca="false">IF(OR(AC30="",N(Z30)=0),"",AC30/Z30)</f>
        <v/>
      </c>
      <c r="AE30" s="25" t="str">
        <f aca="false">IF(OR(S30="",N(Z30)=0),"",IF($B30="Short",-1,1)*(S30-H30)*G30/Z30)</f>
        <v/>
      </c>
      <c r="AF30" s="25" t="str">
        <f aca="false">IF(OR(T30="",N(Z30)=0),"",IF($B30="Short",-1,1)*(T30-H30)*G30/Z30)</f>
        <v/>
      </c>
      <c r="AG30" s="21" t="str">
        <f aca="false">IF(U30&lt;&gt;"Open","",Y30*MAX(0,IF($B30="Short",-1,1)*(H30-IF(K30="",I30,K30))))</f>
        <v/>
      </c>
      <c r="AH30" s="26" t="str">
        <f aca="false">IF(U30&lt;&gt;"Closed","",DATE(YEAR(P30),MONTH(P30),1))</f>
        <v/>
      </c>
      <c r="AI30" s="19" t="str">
        <f aca="false">IF(U30&lt;&gt;"Closed","",COUNTIFS($U$7:$U$506,"Closed",$P$7:$P$506,"&lt;"&amp;P30)+COUNTIFS($U$7:U30,"Closed",$P$7:P30,P30))</f>
        <v/>
      </c>
    </row>
    <row r="31" customFormat="false" ht="15" hidden="false" customHeight="false" outlineLevel="0" collapsed="false">
      <c r="A31" s="13"/>
      <c r="B31" s="14"/>
      <c r="C31" s="14"/>
      <c r="D31" s="14"/>
      <c r="E31" s="15"/>
      <c r="F31" s="15"/>
      <c r="G31" s="16"/>
      <c r="H31" s="17"/>
      <c r="I31" s="17"/>
      <c r="J31" s="17"/>
      <c r="K31" s="17"/>
      <c r="L31" s="16"/>
      <c r="M31" s="17"/>
      <c r="N31" s="16"/>
      <c r="O31" s="17"/>
      <c r="P31" s="15"/>
      <c r="Q31" s="17"/>
      <c r="R31" s="17"/>
      <c r="S31" s="17"/>
      <c r="T31" s="17"/>
      <c r="U31" s="18" t="str">
        <f aca="false">IF(A31="","",IF(N(G31)-N(L31)-N(N31)&lt;0,"Check shares",IF(AND(P31&lt;&gt;"",Q31&lt;&gt;""),"Closed","Open")))</f>
        <v/>
      </c>
      <c r="V31" s="19" t="str">
        <f aca="false">IF(OR(F31="",P31=""),"",NETWORKDAYS(F31,P31,Lists!$F$5:$F$40)-1)</f>
        <v/>
      </c>
      <c r="W31" s="18" t="str">
        <f aca="false">IF(V31="","",IF(V31=0,"Same day","Overnight"))</f>
        <v/>
      </c>
      <c r="X31" s="18" t="str">
        <f aca="false">IF(OR(E31="",F31=""),"",IF(AND(E31&gt;=F31,OR(P31="",E31&lt;=P31)),"Yes","No"))</f>
        <v/>
      </c>
      <c r="Y31" s="20" t="str">
        <f aca="false">IF(A31="","",N(G31)-N(L31)-N(N31))</f>
        <v/>
      </c>
      <c r="Z31" s="21" t="str">
        <f aca="false">IF(OR(G31="",H31="",I31=""),"",ABS(H31-I31)*G31)</f>
        <v/>
      </c>
      <c r="AA31" s="22" t="str">
        <f aca="false">IF(OR(J31="",N(Z31)=0),"",ABS(J31-H31)/ABS(H31-I31))</f>
        <v/>
      </c>
      <c r="AB31" s="23" t="str">
        <f aca="false">IF(U31&lt;&gt;"Closed","",(N(L31)*N(M31)+N(N31)*N(O31)+Y31*Q31)/G31)</f>
        <v/>
      </c>
      <c r="AC31" s="24" t="str">
        <f aca="false">IF(U31&lt;&gt;"Closed","",IF($B31="Short",-1,1)*((N(M31)-H31)*N(L31)+(N(O31)-H31)*N(N31)+(Q31-H31)*Y31)-N(R31))</f>
        <v/>
      </c>
      <c r="AD31" s="25" t="str">
        <f aca="false">IF(OR(AC31="",N(Z31)=0),"",AC31/Z31)</f>
        <v/>
      </c>
      <c r="AE31" s="25" t="str">
        <f aca="false">IF(OR(S31="",N(Z31)=0),"",IF($B31="Short",-1,1)*(S31-H31)*G31/Z31)</f>
        <v/>
      </c>
      <c r="AF31" s="25" t="str">
        <f aca="false">IF(OR(T31="",N(Z31)=0),"",IF($B31="Short",-1,1)*(T31-H31)*G31/Z31)</f>
        <v/>
      </c>
      <c r="AG31" s="21" t="str">
        <f aca="false">IF(U31&lt;&gt;"Open","",Y31*MAX(0,IF($B31="Short",-1,1)*(H31-IF(K31="",I31,K31))))</f>
        <v/>
      </c>
      <c r="AH31" s="26" t="str">
        <f aca="false">IF(U31&lt;&gt;"Closed","",DATE(YEAR(P31),MONTH(P31),1))</f>
        <v/>
      </c>
      <c r="AI31" s="19" t="str">
        <f aca="false">IF(U31&lt;&gt;"Closed","",COUNTIFS($U$7:$U$506,"Closed",$P$7:$P$506,"&lt;"&amp;P31)+COUNTIFS($U$7:U31,"Closed",$P$7:P31,P31))</f>
        <v/>
      </c>
    </row>
    <row r="32" customFormat="false" ht="15" hidden="false" customHeight="false" outlineLevel="0" collapsed="false">
      <c r="A32" s="13"/>
      <c r="B32" s="14"/>
      <c r="C32" s="14"/>
      <c r="D32" s="14"/>
      <c r="E32" s="15"/>
      <c r="F32" s="15"/>
      <c r="G32" s="16"/>
      <c r="H32" s="17"/>
      <c r="I32" s="17"/>
      <c r="J32" s="17"/>
      <c r="K32" s="17"/>
      <c r="L32" s="16"/>
      <c r="M32" s="17"/>
      <c r="N32" s="16"/>
      <c r="O32" s="17"/>
      <c r="P32" s="15"/>
      <c r="Q32" s="17"/>
      <c r="R32" s="17"/>
      <c r="S32" s="17"/>
      <c r="T32" s="17"/>
      <c r="U32" s="18" t="str">
        <f aca="false">IF(A32="","",IF(N(G32)-N(L32)-N(N32)&lt;0,"Check shares",IF(AND(P32&lt;&gt;"",Q32&lt;&gt;""),"Closed","Open")))</f>
        <v/>
      </c>
      <c r="V32" s="19" t="str">
        <f aca="false">IF(OR(F32="",P32=""),"",NETWORKDAYS(F32,P32,Lists!$F$5:$F$40)-1)</f>
        <v/>
      </c>
      <c r="W32" s="18" t="str">
        <f aca="false">IF(V32="","",IF(V32=0,"Same day","Overnight"))</f>
        <v/>
      </c>
      <c r="X32" s="18" t="str">
        <f aca="false">IF(OR(E32="",F32=""),"",IF(AND(E32&gt;=F32,OR(P32="",E32&lt;=P32)),"Yes","No"))</f>
        <v/>
      </c>
      <c r="Y32" s="20" t="str">
        <f aca="false">IF(A32="","",N(G32)-N(L32)-N(N32))</f>
        <v/>
      </c>
      <c r="Z32" s="21" t="str">
        <f aca="false">IF(OR(G32="",H32="",I32=""),"",ABS(H32-I32)*G32)</f>
        <v/>
      </c>
      <c r="AA32" s="22" t="str">
        <f aca="false">IF(OR(J32="",N(Z32)=0),"",ABS(J32-H32)/ABS(H32-I32))</f>
        <v/>
      </c>
      <c r="AB32" s="23" t="str">
        <f aca="false">IF(U32&lt;&gt;"Closed","",(N(L32)*N(M32)+N(N32)*N(O32)+Y32*Q32)/G32)</f>
        <v/>
      </c>
      <c r="AC32" s="24" t="str">
        <f aca="false">IF(U32&lt;&gt;"Closed","",IF($B32="Short",-1,1)*((N(M32)-H32)*N(L32)+(N(O32)-H32)*N(N32)+(Q32-H32)*Y32)-N(R32))</f>
        <v/>
      </c>
      <c r="AD32" s="25" t="str">
        <f aca="false">IF(OR(AC32="",N(Z32)=0),"",AC32/Z32)</f>
        <v/>
      </c>
      <c r="AE32" s="25" t="str">
        <f aca="false">IF(OR(S32="",N(Z32)=0),"",IF($B32="Short",-1,1)*(S32-H32)*G32/Z32)</f>
        <v/>
      </c>
      <c r="AF32" s="25" t="str">
        <f aca="false">IF(OR(T32="",N(Z32)=0),"",IF($B32="Short",-1,1)*(T32-H32)*G32/Z32)</f>
        <v/>
      </c>
      <c r="AG32" s="21" t="str">
        <f aca="false">IF(U32&lt;&gt;"Open","",Y32*MAX(0,IF($B32="Short",-1,1)*(H32-IF(K32="",I32,K32))))</f>
        <v/>
      </c>
      <c r="AH32" s="26" t="str">
        <f aca="false">IF(U32&lt;&gt;"Closed","",DATE(YEAR(P32),MONTH(P32),1))</f>
        <v/>
      </c>
      <c r="AI32" s="19" t="str">
        <f aca="false">IF(U32&lt;&gt;"Closed","",COUNTIFS($U$7:$U$506,"Closed",$P$7:$P$506,"&lt;"&amp;P32)+COUNTIFS($U$7:U32,"Closed",$P$7:P32,P32))</f>
        <v/>
      </c>
    </row>
    <row r="33" customFormat="false" ht="15" hidden="false" customHeight="false" outlineLevel="0" collapsed="false">
      <c r="A33" s="13"/>
      <c r="B33" s="14"/>
      <c r="C33" s="14"/>
      <c r="D33" s="14"/>
      <c r="E33" s="15"/>
      <c r="F33" s="15"/>
      <c r="G33" s="16"/>
      <c r="H33" s="17"/>
      <c r="I33" s="17"/>
      <c r="J33" s="17"/>
      <c r="K33" s="17"/>
      <c r="L33" s="16"/>
      <c r="M33" s="17"/>
      <c r="N33" s="16"/>
      <c r="O33" s="17"/>
      <c r="P33" s="15"/>
      <c r="Q33" s="17"/>
      <c r="R33" s="17"/>
      <c r="S33" s="17"/>
      <c r="T33" s="17"/>
      <c r="U33" s="18" t="str">
        <f aca="false">IF(A33="","",IF(N(G33)-N(L33)-N(N33)&lt;0,"Check shares",IF(AND(P33&lt;&gt;"",Q33&lt;&gt;""),"Closed","Open")))</f>
        <v/>
      </c>
      <c r="V33" s="19" t="str">
        <f aca="false">IF(OR(F33="",P33=""),"",NETWORKDAYS(F33,P33,Lists!$F$5:$F$40)-1)</f>
        <v/>
      </c>
      <c r="W33" s="18" t="str">
        <f aca="false">IF(V33="","",IF(V33=0,"Same day","Overnight"))</f>
        <v/>
      </c>
      <c r="X33" s="18" t="str">
        <f aca="false">IF(OR(E33="",F33=""),"",IF(AND(E33&gt;=F33,OR(P33="",E33&lt;=P33)),"Yes","No"))</f>
        <v/>
      </c>
      <c r="Y33" s="20" t="str">
        <f aca="false">IF(A33="","",N(G33)-N(L33)-N(N33))</f>
        <v/>
      </c>
      <c r="Z33" s="21" t="str">
        <f aca="false">IF(OR(G33="",H33="",I33=""),"",ABS(H33-I33)*G33)</f>
        <v/>
      </c>
      <c r="AA33" s="22" t="str">
        <f aca="false">IF(OR(J33="",N(Z33)=0),"",ABS(J33-H33)/ABS(H33-I33))</f>
        <v/>
      </c>
      <c r="AB33" s="23" t="str">
        <f aca="false">IF(U33&lt;&gt;"Closed","",(N(L33)*N(M33)+N(N33)*N(O33)+Y33*Q33)/G33)</f>
        <v/>
      </c>
      <c r="AC33" s="24" t="str">
        <f aca="false">IF(U33&lt;&gt;"Closed","",IF($B33="Short",-1,1)*((N(M33)-H33)*N(L33)+(N(O33)-H33)*N(N33)+(Q33-H33)*Y33)-N(R33))</f>
        <v/>
      </c>
      <c r="AD33" s="25" t="str">
        <f aca="false">IF(OR(AC33="",N(Z33)=0),"",AC33/Z33)</f>
        <v/>
      </c>
      <c r="AE33" s="25" t="str">
        <f aca="false">IF(OR(S33="",N(Z33)=0),"",IF($B33="Short",-1,1)*(S33-H33)*G33/Z33)</f>
        <v/>
      </c>
      <c r="AF33" s="25" t="str">
        <f aca="false">IF(OR(T33="",N(Z33)=0),"",IF($B33="Short",-1,1)*(T33-H33)*G33/Z33)</f>
        <v/>
      </c>
      <c r="AG33" s="21" t="str">
        <f aca="false">IF(U33&lt;&gt;"Open","",Y33*MAX(0,IF($B33="Short",-1,1)*(H33-IF(K33="",I33,K33))))</f>
        <v/>
      </c>
      <c r="AH33" s="26" t="str">
        <f aca="false">IF(U33&lt;&gt;"Closed","",DATE(YEAR(P33),MONTH(P33),1))</f>
        <v/>
      </c>
      <c r="AI33" s="19" t="str">
        <f aca="false">IF(U33&lt;&gt;"Closed","",COUNTIFS($U$7:$U$506,"Closed",$P$7:$P$506,"&lt;"&amp;P33)+COUNTIFS($U$7:U33,"Closed",$P$7:P33,P33))</f>
        <v/>
      </c>
    </row>
    <row r="34" customFormat="false" ht="15" hidden="false" customHeight="false" outlineLevel="0" collapsed="false">
      <c r="A34" s="13"/>
      <c r="B34" s="14"/>
      <c r="C34" s="14"/>
      <c r="D34" s="14"/>
      <c r="E34" s="15"/>
      <c r="F34" s="15"/>
      <c r="G34" s="16"/>
      <c r="H34" s="17"/>
      <c r="I34" s="17"/>
      <c r="J34" s="17"/>
      <c r="K34" s="17"/>
      <c r="L34" s="16"/>
      <c r="M34" s="17"/>
      <c r="N34" s="16"/>
      <c r="O34" s="17"/>
      <c r="P34" s="15"/>
      <c r="Q34" s="17"/>
      <c r="R34" s="17"/>
      <c r="S34" s="17"/>
      <c r="T34" s="17"/>
      <c r="U34" s="18" t="str">
        <f aca="false">IF(A34="","",IF(N(G34)-N(L34)-N(N34)&lt;0,"Check shares",IF(AND(P34&lt;&gt;"",Q34&lt;&gt;""),"Closed","Open")))</f>
        <v/>
      </c>
      <c r="V34" s="19" t="str">
        <f aca="false">IF(OR(F34="",P34=""),"",NETWORKDAYS(F34,P34,Lists!$F$5:$F$40)-1)</f>
        <v/>
      </c>
      <c r="W34" s="18" t="str">
        <f aca="false">IF(V34="","",IF(V34=0,"Same day","Overnight"))</f>
        <v/>
      </c>
      <c r="X34" s="18" t="str">
        <f aca="false">IF(OR(E34="",F34=""),"",IF(AND(E34&gt;=F34,OR(P34="",E34&lt;=P34)),"Yes","No"))</f>
        <v/>
      </c>
      <c r="Y34" s="20" t="str">
        <f aca="false">IF(A34="","",N(G34)-N(L34)-N(N34))</f>
        <v/>
      </c>
      <c r="Z34" s="21" t="str">
        <f aca="false">IF(OR(G34="",H34="",I34=""),"",ABS(H34-I34)*G34)</f>
        <v/>
      </c>
      <c r="AA34" s="22" t="str">
        <f aca="false">IF(OR(J34="",N(Z34)=0),"",ABS(J34-H34)/ABS(H34-I34))</f>
        <v/>
      </c>
      <c r="AB34" s="23" t="str">
        <f aca="false">IF(U34&lt;&gt;"Closed","",(N(L34)*N(M34)+N(N34)*N(O34)+Y34*Q34)/G34)</f>
        <v/>
      </c>
      <c r="AC34" s="24" t="str">
        <f aca="false">IF(U34&lt;&gt;"Closed","",IF($B34="Short",-1,1)*((N(M34)-H34)*N(L34)+(N(O34)-H34)*N(N34)+(Q34-H34)*Y34)-N(R34))</f>
        <v/>
      </c>
      <c r="AD34" s="25" t="str">
        <f aca="false">IF(OR(AC34="",N(Z34)=0),"",AC34/Z34)</f>
        <v/>
      </c>
      <c r="AE34" s="25" t="str">
        <f aca="false">IF(OR(S34="",N(Z34)=0),"",IF($B34="Short",-1,1)*(S34-H34)*G34/Z34)</f>
        <v/>
      </c>
      <c r="AF34" s="25" t="str">
        <f aca="false">IF(OR(T34="",N(Z34)=0),"",IF($B34="Short",-1,1)*(T34-H34)*G34/Z34)</f>
        <v/>
      </c>
      <c r="AG34" s="21" t="str">
        <f aca="false">IF(U34&lt;&gt;"Open","",Y34*MAX(0,IF($B34="Short",-1,1)*(H34-IF(K34="",I34,K34))))</f>
        <v/>
      </c>
      <c r="AH34" s="26" t="str">
        <f aca="false">IF(U34&lt;&gt;"Closed","",DATE(YEAR(P34),MONTH(P34),1))</f>
        <v/>
      </c>
      <c r="AI34" s="19" t="str">
        <f aca="false">IF(U34&lt;&gt;"Closed","",COUNTIFS($U$7:$U$506,"Closed",$P$7:$P$506,"&lt;"&amp;P34)+COUNTIFS($U$7:U34,"Closed",$P$7:P34,P34))</f>
        <v/>
      </c>
    </row>
    <row r="35" customFormat="false" ht="15" hidden="false" customHeight="false" outlineLevel="0" collapsed="false">
      <c r="A35" s="13"/>
      <c r="B35" s="14"/>
      <c r="C35" s="14"/>
      <c r="D35" s="14"/>
      <c r="E35" s="15"/>
      <c r="F35" s="15"/>
      <c r="G35" s="16"/>
      <c r="H35" s="17"/>
      <c r="I35" s="17"/>
      <c r="J35" s="17"/>
      <c r="K35" s="17"/>
      <c r="L35" s="16"/>
      <c r="M35" s="17"/>
      <c r="N35" s="16"/>
      <c r="O35" s="17"/>
      <c r="P35" s="15"/>
      <c r="Q35" s="17"/>
      <c r="R35" s="17"/>
      <c r="S35" s="17"/>
      <c r="T35" s="17"/>
      <c r="U35" s="18" t="str">
        <f aca="false">IF(A35="","",IF(N(G35)-N(L35)-N(N35)&lt;0,"Check shares",IF(AND(P35&lt;&gt;"",Q35&lt;&gt;""),"Closed","Open")))</f>
        <v/>
      </c>
      <c r="V35" s="19" t="str">
        <f aca="false">IF(OR(F35="",P35=""),"",NETWORKDAYS(F35,P35,Lists!$F$5:$F$40)-1)</f>
        <v/>
      </c>
      <c r="W35" s="18" t="str">
        <f aca="false">IF(V35="","",IF(V35=0,"Same day","Overnight"))</f>
        <v/>
      </c>
      <c r="X35" s="18" t="str">
        <f aca="false">IF(OR(E35="",F35=""),"",IF(AND(E35&gt;=F35,OR(P35="",E35&lt;=P35)),"Yes","No"))</f>
        <v/>
      </c>
      <c r="Y35" s="20" t="str">
        <f aca="false">IF(A35="","",N(G35)-N(L35)-N(N35))</f>
        <v/>
      </c>
      <c r="Z35" s="21" t="str">
        <f aca="false">IF(OR(G35="",H35="",I35=""),"",ABS(H35-I35)*G35)</f>
        <v/>
      </c>
      <c r="AA35" s="22" t="str">
        <f aca="false">IF(OR(J35="",N(Z35)=0),"",ABS(J35-H35)/ABS(H35-I35))</f>
        <v/>
      </c>
      <c r="AB35" s="23" t="str">
        <f aca="false">IF(U35&lt;&gt;"Closed","",(N(L35)*N(M35)+N(N35)*N(O35)+Y35*Q35)/G35)</f>
        <v/>
      </c>
      <c r="AC35" s="24" t="str">
        <f aca="false">IF(U35&lt;&gt;"Closed","",IF($B35="Short",-1,1)*((N(M35)-H35)*N(L35)+(N(O35)-H35)*N(N35)+(Q35-H35)*Y35)-N(R35))</f>
        <v/>
      </c>
      <c r="AD35" s="25" t="str">
        <f aca="false">IF(OR(AC35="",N(Z35)=0),"",AC35/Z35)</f>
        <v/>
      </c>
      <c r="AE35" s="25" t="str">
        <f aca="false">IF(OR(S35="",N(Z35)=0),"",IF($B35="Short",-1,1)*(S35-H35)*G35/Z35)</f>
        <v/>
      </c>
      <c r="AF35" s="25" t="str">
        <f aca="false">IF(OR(T35="",N(Z35)=0),"",IF($B35="Short",-1,1)*(T35-H35)*G35/Z35)</f>
        <v/>
      </c>
      <c r="AG35" s="21" t="str">
        <f aca="false">IF(U35&lt;&gt;"Open","",Y35*MAX(0,IF($B35="Short",-1,1)*(H35-IF(K35="",I35,K35))))</f>
        <v/>
      </c>
      <c r="AH35" s="26" t="str">
        <f aca="false">IF(U35&lt;&gt;"Closed","",DATE(YEAR(P35),MONTH(P35),1))</f>
        <v/>
      </c>
      <c r="AI35" s="19" t="str">
        <f aca="false">IF(U35&lt;&gt;"Closed","",COUNTIFS($U$7:$U$506,"Closed",$P$7:$P$506,"&lt;"&amp;P35)+COUNTIFS($U$7:U35,"Closed",$P$7:P35,P35))</f>
        <v/>
      </c>
    </row>
    <row r="36" customFormat="false" ht="15" hidden="false" customHeight="false" outlineLevel="0" collapsed="false">
      <c r="A36" s="13"/>
      <c r="B36" s="14"/>
      <c r="C36" s="14"/>
      <c r="D36" s="14"/>
      <c r="E36" s="15"/>
      <c r="F36" s="15"/>
      <c r="G36" s="16"/>
      <c r="H36" s="17"/>
      <c r="I36" s="17"/>
      <c r="J36" s="17"/>
      <c r="K36" s="17"/>
      <c r="L36" s="16"/>
      <c r="M36" s="17"/>
      <c r="N36" s="16"/>
      <c r="O36" s="17"/>
      <c r="P36" s="15"/>
      <c r="Q36" s="17"/>
      <c r="R36" s="17"/>
      <c r="S36" s="17"/>
      <c r="T36" s="17"/>
      <c r="U36" s="18" t="str">
        <f aca="false">IF(A36="","",IF(N(G36)-N(L36)-N(N36)&lt;0,"Check shares",IF(AND(P36&lt;&gt;"",Q36&lt;&gt;""),"Closed","Open")))</f>
        <v/>
      </c>
      <c r="V36" s="19" t="str">
        <f aca="false">IF(OR(F36="",P36=""),"",NETWORKDAYS(F36,P36,Lists!$F$5:$F$40)-1)</f>
        <v/>
      </c>
      <c r="W36" s="18" t="str">
        <f aca="false">IF(V36="","",IF(V36=0,"Same day","Overnight"))</f>
        <v/>
      </c>
      <c r="X36" s="18" t="str">
        <f aca="false">IF(OR(E36="",F36=""),"",IF(AND(E36&gt;=F36,OR(P36="",E36&lt;=P36)),"Yes","No"))</f>
        <v/>
      </c>
      <c r="Y36" s="20" t="str">
        <f aca="false">IF(A36="","",N(G36)-N(L36)-N(N36))</f>
        <v/>
      </c>
      <c r="Z36" s="21" t="str">
        <f aca="false">IF(OR(G36="",H36="",I36=""),"",ABS(H36-I36)*G36)</f>
        <v/>
      </c>
      <c r="AA36" s="22" t="str">
        <f aca="false">IF(OR(J36="",N(Z36)=0),"",ABS(J36-H36)/ABS(H36-I36))</f>
        <v/>
      </c>
      <c r="AB36" s="23" t="str">
        <f aca="false">IF(U36&lt;&gt;"Closed","",(N(L36)*N(M36)+N(N36)*N(O36)+Y36*Q36)/G36)</f>
        <v/>
      </c>
      <c r="AC36" s="24" t="str">
        <f aca="false">IF(U36&lt;&gt;"Closed","",IF($B36="Short",-1,1)*((N(M36)-H36)*N(L36)+(N(O36)-H36)*N(N36)+(Q36-H36)*Y36)-N(R36))</f>
        <v/>
      </c>
      <c r="AD36" s="25" t="str">
        <f aca="false">IF(OR(AC36="",N(Z36)=0),"",AC36/Z36)</f>
        <v/>
      </c>
      <c r="AE36" s="25" t="str">
        <f aca="false">IF(OR(S36="",N(Z36)=0),"",IF($B36="Short",-1,1)*(S36-H36)*G36/Z36)</f>
        <v/>
      </c>
      <c r="AF36" s="25" t="str">
        <f aca="false">IF(OR(T36="",N(Z36)=0),"",IF($B36="Short",-1,1)*(T36-H36)*G36/Z36)</f>
        <v/>
      </c>
      <c r="AG36" s="21" t="str">
        <f aca="false">IF(U36&lt;&gt;"Open","",Y36*MAX(0,IF($B36="Short",-1,1)*(H36-IF(K36="",I36,K36))))</f>
        <v/>
      </c>
      <c r="AH36" s="26" t="str">
        <f aca="false">IF(U36&lt;&gt;"Closed","",DATE(YEAR(P36),MONTH(P36),1))</f>
        <v/>
      </c>
      <c r="AI36" s="19" t="str">
        <f aca="false">IF(U36&lt;&gt;"Closed","",COUNTIFS($U$7:$U$506,"Closed",$P$7:$P$506,"&lt;"&amp;P36)+COUNTIFS($U$7:U36,"Closed",$P$7:P36,P36))</f>
        <v/>
      </c>
    </row>
    <row r="37" customFormat="false" ht="15" hidden="false" customHeight="false" outlineLevel="0" collapsed="false">
      <c r="A37" s="13"/>
      <c r="B37" s="14"/>
      <c r="C37" s="14"/>
      <c r="D37" s="14"/>
      <c r="E37" s="15"/>
      <c r="F37" s="15"/>
      <c r="G37" s="16"/>
      <c r="H37" s="17"/>
      <c r="I37" s="17"/>
      <c r="J37" s="17"/>
      <c r="K37" s="17"/>
      <c r="L37" s="16"/>
      <c r="M37" s="17"/>
      <c r="N37" s="16"/>
      <c r="O37" s="17"/>
      <c r="P37" s="15"/>
      <c r="Q37" s="17"/>
      <c r="R37" s="17"/>
      <c r="S37" s="17"/>
      <c r="T37" s="17"/>
      <c r="U37" s="18" t="str">
        <f aca="false">IF(A37="","",IF(N(G37)-N(L37)-N(N37)&lt;0,"Check shares",IF(AND(P37&lt;&gt;"",Q37&lt;&gt;""),"Closed","Open")))</f>
        <v/>
      </c>
      <c r="V37" s="19" t="str">
        <f aca="false">IF(OR(F37="",P37=""),"",NETWORKDAYS(F37,P37,Lists!$F$5:$F$40)-1)</f>
        <v/>
      </c>
      <c r="W37" s="18" t="str">
        <f aca="false">IF(V37="","",IF(V37=0,"Same day","Overnight"))</f>
        <v/>
      </c>
      <c r="X37" s="18" t="str">
        <f aca="false">IF(OR(E37="",F37=""),"",IF(AND(E37&gt;=F37,OR(P37="",E37&lt;=P37)),"Yes","No"))</f>
        <v/>
      </c>
      <c r="Y37" s="20" t="str">
        <f aca="false">IF(A37="","",N(G37)-N(L37)-N(N37))</f>
        <v/>
      </c>
      <c r="Z37" s="21" t="str">
        <f aca="false">IF(OR(G37="",H37="",I37=""),"",ABS(H37-I37)*G37)</f>
        <v/>
      </c>
      <c r="AA37" s="22" t="str">
        <f aca="false">IF(OR(J37="",N(Z37)=0),"",ABS(J37-H37)/ABS(H37-I37))</f>
        <v/>
      </c>
      <c r="AB37" s="23" t="str">
        <f aca="false">IF(U37&lt;&gt;"Closed","",(N(L37)*N(M37)+N(N37)*N(O37)+Y37*Q37)/G37)</f>
        <v/>
      </c>
      <c r="AC37" s="24" t="str">
        <f aca="false">IF(U37&lt;&gt;"Closed","",IF($B37="Short",-1,1)*((N(M37)-H37)*N(L37)+(N(O37)-H37)*N(N37)+(Q37-H37)*Y37)-N(R37))</f>
        <v/>
      </c>
      <c r="AD37" s="25" t="str">
        <f aca="false">IF(OR(AC37="",N(Z37)=0),"",AC37/Z37)</f>
        <v/>
      </c>
      <c r="AE37" s="25" t="str">
        <f aca="false">IF(OR(S37="",N(Z37)=0),"",IF($B37="Short",-1,1)*(S37-H37)*G37/Z37)</f>
        <v/>
      </c>
      <c r="AF37" s="25" t="str">
        <f aca="false">IF(OR(T37="",N(Z37)=0),"",IF($B37="Short",-1,1)*(T37-H37)*G37/Z37)</f>
        <v/>
      </c>
      <c r="AG37" s="21" t="str">
        <f aca="false">IF(U37&lt;&gt;"Open","",Y37*MAX(0,IF($B37="Short",-1,1)*(H37-IF(K37="",I37,K37))))</f>
        <v/>
      </c>
      <c r="AH37" s="26" t="str">
        <f aca="false">IF(U37&lt;&gt;"Closed","",DATE(YEAR(P37),MONTH(P37),1))</f>
        <v/>
      </c>
      <c r="AI37" s="19" t="str">
        <f aca="false">IF(U37&lt;&gt;"Closed","",COUNTIFS($U$7:$U$506,"Closed",$P$7:$P$506,"&lt;"&amp;P37)+COUNTIFS($U$7:U37,"Closed",$P$7:P37,P37))</f>
        <v/>
      </c>
    </row>
    <row r="38" customFormat="false" ht="15" hidden="false" customHeight="false" outlineLevel="0" collapsed="false">
      <c r="A38" s="13"/>
      <c r="B38" s="14"/>
      <c r="C38" s="14"/>
      <c r="D38" s="14"/>
      <c r="E38" s="15"/>
      <c r="F38" s="15"/>
      <c r="G38" s="16"/>
      <c r="H38" s="17"/>
      <c r="I38" s="17"/>
      <c r="J38" s="17"/>
      <c r="K38" s="17"/>
      <c r="L38" s="16"/>
      <c r="M38" s="17"/>
      <c r="N38" s="16"/>
      <c r="O38" s="17"/>
      <c r="P38" s="15"/>
      <c r="Q38" s="17"/>
      <c r="R38" s="17"/>
      <c r="S38" s="17"/>
      <c r="T38" s="17"/>
      <c r="U38" s="18" t="str">
        <f aca="false">IF(A38="","",IF(N(G38)-N(L38)-N(N38)&lt;0,"Check shares",IF(AND(P38&lt;&gt;"",Q38&lt;&gt;""),"Closed","Open")))</f>
        <v/>
      </c>
      <c r="V38" s="19" t="str">
        <f aca="false">IF(OR(F38="",P38=""),"",NETWORKDAYS(F38,P38,Lists!$F$5:$F$40)-1)</f>
        <v/>
      </c>
      <c r="W38" s="18" t="str">
        <f aca="false">IF(V38="","",IF(V38=0,"Same day","Overnight"))</f>
        <v/>
      </c>
      <c r="X38" s="18" t="str">
        <f aca="false">IF(OR(E38="",F38=""),"",IF(AND(E38&gt;=F38,OR(P38="",E38&lt;=P38)),"Yes","No"))</f>
        <v/>
      </c>
      <c r="Y38" s="20" t="str">
        <f aca="false">IF(A38="","",N(G38)-N(L38)-N(N38))</f>
        <v/>
      </c>
      <c r="Z38" s="21" t="str">
        <f aca="false">IF(OR(G38="",H38="",I38=""),"",ABS(H38-I38)*G38)</f>
        <v/>
      </c>
      <c r="AA38" s="22" t="str">
        <f aca="false">IF(OR(J38="",N(Z38)=0),"",ABS(J38-H38)/ABS(H38-I38))</f>
        <v/>
      </c>
      <c r="AB38" s="23" t="str">
        <f aca="false">IF(U38&lt;&gt;"Closed","",(N(L38)*N(M38)+N(N38)*N(O38)+Y38*Q38)/G38)</f>
        <v/>
      </c>
      <c r="AC38" s="24" t="str">
        <f aca="false">IF(U38&lt;&gt;"Closed","",IF($B38="Short",-1,1)*((N(M38)-H38)*N(L38)+(N(O38)-H38)*N(N38)+(Q38-H38)*Y38)-N(R38))</f>
        <v/>
      </c>
      <c r="AD38" s="25" t="str">
        <f aca="false">IF(OR(AC38="",N(Z38)=0),"",AC38/Z38)</f>
        <v/>
      </c>
      <c r="AE38" s="25" t="str">
        <f aca="false">IF(OR(S38="",N(Z38)=0),"",IF($B38="Short",-1,1)*(S38-H38)*G38/Z38)</f>
        <v/>
      </c>
      <c r="AF38" s="25" t="str">
        <f aca="false">IF(OR(T38="",N(Z38)=0),"",IF($B38="Short",-1,1)*(T38-H38)*G38/Z38)</f>
        <v/>
      </c>
      <c r="AG38" s="21" t="str">
        <f aca="false">IF(U38&lt;&gt;"Open","",Y38*MAX(0,IF($B38="Short",-1,1)*(H38-IF(K38="",I38,K38))))</f>
        <v/>
      </c>
      <c r="AH38" s="26" t="str">
        <f aca="false">IF(U38&lt;&gt;"Closed","",DATE(YEAR(P38),MONTH(P38),1))</f>
        <v/>
      </c>
      <c r="AI38" s="19" t="str">
        <f aca="false">IF(U38&lt;&gt;"Closed","",COUNTIFS($U$7:$U$506,"Closed",$P$7:$P$506,"&lt;"&amp;P38)+COUNTIFS($U$7:U38,"Closed",$P$7:P38,P38))</f>
        <v/>
      </c>
    </row>
    <row r="39" customFormat="false" ht="15" hidden="false" customHeight="false" outlineLevel="0" collapsed="false">
      <c r="A39" s="13"/>
      <c r="B39" s="14"/>
      <c r="C39" s="14"/>
      <c r="D39" s="14"/>
      <c r="E39" s="15"/>
      <c r="F39" s="15"/>
      <c r="G39" s="16"/>
      <c r="H39" s="17"/>
      <c r="I39" s="17"/>
      <c r="J39" s="17"/>
      <c r="K39" s="17"/>
      <c r="L39" s="16"/>
      <c r="M39" s="17"/>
      <c r="N39" s="16"/>
      <c r="O39" s="17"/>
      <c r="P39" s="15"/>
      <c r="Q39" s="17"/>
      <c r="R39" s="17"/>
      <c r="S39" s="17"/>
      <c r="T39" s="17"/>
      <c r="U39" s="18" t="str">
        <f aca="false">IF(A39="","",IF(N(G39)-N(L39)-N(N39)&lt;0,"Check shares",IF(AND(P39&lt;&gt;"",Q39&lt;&gt;""),"Closed","Open")))</f>
        <v/>
      </c>
      <c r="V39" s="19" t="str">
        <f aca="false">IF(OR(F39="",P39=""),"",NETWORKDAYS(F39,P39,Lists!$F$5:$F$40)-1)</f>
        <v/>
      </c>
      <c r="W39" s="18" t="str">
        <f aca="false">IF(V39="","",IF(V39=0,"Same day","Overnight"))</f>
        <v/>
      </c>
      <c r="X39" s="18" t="str">
        <f aca="false">IF(OR(E39="",F39=""),"",IF(AND(E39&gt;=F39,OR(P39="",E39&lt;=P39)),"Yes","No"))</f>
        <v/>
      </c>
      <c r="Y39" s="20" t="str">
        <f aca="false">IF(A39="","",N(G39)-N(L39)-N(N39))</f>
        <v/>
      </c>
      <c r="Z39" s="21" t="str">
        <f aca="false">IF(OR(G39="",H39="",I39=""),"",ABS(H39-I39)*G39)</f>
        <v/>
      </c>
      <c r="AA39" s="22" t="str">
        <f aca="false">IF(OR(J39="",N(Z39)=0),"",ABS(J39-H39)/ABS(H39-I39))</f>
        <v/>
      </c>
      <c r="AB39" s="23" t="str">
        <f aca="false">IF(U39&lt;&gt;"Closed","",(N(L39)*N(M39)+N(N39)*N(O39)+Y39*Q39)/G39)</f>
        <v/>
      </c>
      <c r="AC39" s="24" t="str">
        <f aca="false">IF(U39&lt;&gt;"Closed","",IF($B39="Short",-1,1)*((N(M39)-H39)*N(L39)+(N(O39)-H39)*N(N39)+(Q39-H39)*Y39)-N(R39))</f>
        <v/>
      </c>
      <c r="AD39" s="25" t="str">
        <f aca="false">IF(OR(AC39="",N(Z39)=0),"",AC39/Z39)</f>
        <v/>
      </c>
      <c r="AE39" s="25" t="str">
        <f aca="false">IF(OR(S39="",N(Z39)=0),"",IF($B39="Short",-1,1)*(S39-H39)*G39/Z39)</f>
        <v/>
      </c>
      <c r="AF39" s="25" t="str">
        <f aca="false">IF(OR(T39="",N(Z39)=0),"",IF($B39="Short",-1,1)*(T39-H39)*G39/Z39)</f>
        <v/>
      </c>
      <c r="AG39" s="21" t="str">
        <f aca="false">IF(U39&lt;&gt;"Open","",Y39*MAX(0,IF($B39="Short",-1,1)*(H39-IF(K39="",I39,K39))))</f>
        <v/>
      </c>
      <c r="AH39" s="26" t="str">
        <f aca="false">IF(U39&lt;&gt;"Closed","",DATE(YEAR(P39),MONTH(P39),1))</f>
        <v/>
      </c>
      <c r="AI39" s="19" t="str">
        <f aca="false">IF(U39&lt;&gt;"Closed","",COUNTIFS($U$7:$U$506,"Closed",$P$7:$P$506,"&lt;"&amp;P39)+COUNTIFS($U$7:U39,"Closed",$P$7:P39,P39))</f>
        <v/>
      </c>
    </row>
    <row r="40" customFormat="false" ht="15" hidden="false" customHeight="false" outlineLevel="0" collapsed="false">
      <c r="A40" s="13"/>
      <c r="B40" s="14"/>
      <c r="C40" s="14"/>
      <c r="D40" s="14"/>
      <c r="E40" s="15"/>
      <c r="F40" s="15"/>
      <c r="G40" s="16"/>
      <c r="H40" s="17"/>
      <c r="I40" s="17"/>
      <c r="J40" s="17"/>
      <c r="K40" s="17"/>
      <c r="L40" s="16"/>
      <c r="M40" s="17"/>
      <c r="N40" s="16"/>
      <c r="O40" s="17"/>
      <c r="P40" s="15"/>
      <c r="Q40" s="17"/>
      <c r="R40" s="17"/>
      <c r="S40" s="17"/>
      <c r="T40" s="17"/>
      <c r="U40" s="18" t="str">
        <f aca="false">IF(A40="","",IF(N(G40)-N(L40)-N(N40)&lt;0,"Check shares",IF(AND(P40&lt;&gt;"",Q40&lt;&gt;""),"Closed","Open")))</f>
        <v/>
      </c>
      <c r="V40" s="19" t="str">
        <f aca="false">IF(OR(F40="",P40=""),"",NETWORKDAYS(F40,P40,Lists!$F$5:$F$40)-1)</f>
        <v/>
      </c>
      <c r="W40" s="18" t="str">
        <f aca="false">IF(V40="","",IF(V40=0,"Same day","Overnight"))</f>
        <v/>
      </c>
      <c r="X40" s="18" t="str">
        <f aca="false">IF(OR(E40="",F40=""),"",IF(AND(E40&gt;=F40,OR(P40="",E40&lt;=P40)),"Yes","No"))</f>
        <v/>
      </c>
      <c r="Y40" s="20" t="str">
        <f aca="false">IF(A40="","",N(G40)-N(L40)-N(N40))</f>
        <v/>
      </c>
      <c r="Z40" s="21" t="str">
        <f aca="false">IF(OR(G40="",H40="",I40=""),"",ABS(H40-I40)*G40)</f>
        <v/>
      </c>
      <c r="AA40" s="22" t="str">
        <f aca="false">IF(OR(J40="",N(Z40)=0),"",ABS(J40-H40)/ABS(H40-I40))</f>
        <v/>
      </c>
      <c r="AB40" s="23" t="str">
        <f aca="false">IF(U40&lt;&gt;"Closed","",(N(L40)*N(M40)+N(N40)*N(O40)+Y40*Q40)/G40)</f>
        <v/>
      </c>
      <c r="AC40" s="24" t="str">
        <f aca="false">IF(U40&lt;&gt;"Closed","",IF($B40="Short",-1,1)*((N(M40)-H40)*N(L40)+(N(O40)-H40)*N(N40)+(Q40-H40)*Y40)-N(R40))</f>
        <v/>
      </c>
      <c r="AD40" s="25" t="str">
        <f aca="false">IF(OR(AC40="",N(Z40)=0),"",AC40/Z40)</f>
        <v/>
      </c>
      <c r="AE40" s="25" t="str">
        <f aca="false">IF(OR(S40="",N(Z40)=0),"",IF($B40="Short",-1,1)*(S40-H40)*G40/Z40)</f>
        <v/>
      </c>
      <c r="AF40" s="25" t="str">
        <f aca="false">IF(OR(T40="",N(Z40)=0),"",IF($B40="Short",-1,1)*(T40-H40)*G40/Z40)</f>
        <v/>
      </c>
      <c r="AG40" s="21" t="str">
        <f aca="false">IF(U40&lt;&gt;"Open","",Y40*MAX(0,IF($B40="Short",-1,1)*(H40-IF(K40="",I40,K40))))</f>
        <v/>
      </c>
      <c r="AH40" s="26" t="str">
        <f aca="false">IF(U40&lt;&gt;"Closed","",DATE(YEAR(P40),MONTH(P40),1))</f>
        <v/>
      </c>
      <c r="AI40" s="19" t="str">
        <f aca="false">IF(U40&lt;&gt;"Closed","",COUNTIFS($U$7:$U$506,"Closed",$P$7:$P$506,"&lt;"&amp;P40)+COUNTIFS($U$7:U40,"Closed",$P$7:P40,P40))</f>
        <v/>
      </c>
    </row>
    <row r="41" customFormat="false" ht="15" hidden="false" customHeight="false" outlineLevel="0" collapsed="false">
      <c r="A41" s="13"/>
      <c r="B41" s="14"/>
      <c r="C41" s="14"/>
      <c r="D41" s="14"/>
      <c r="E41" s="15"/>
      <c r="F41" s="15"/>
      <c r="G41" s="16"/>
      <c r="H41" s="17"/>
      <c r="I41" s="17"/>
      <c r="J41" s="17"/>
      <c r="K41" s="17"/>
      <c r="L41" s="16"/>
      <c r="M41" s="17"/>
      <c r="N41" s="16"/>
      <c r="O41" s="17"/>
      <c r="P41" s="15"/>
      <c r="Q41" s="17"/>
      <c r="R41" s="17"/>
      <c r="S41" s="17"/>
      <c r="T41" s="17"/>
      <c r="U41" s="18" t="str">
        <f aca="false">IF(A41="","",IF(N(G41)-N(L41)-N(N41)&lt;0,"Check shares",IF(AND(P41&lt;&gt;"",Q41&lt;&gt;""),"Closed","Open")))</f>
        <v/>
      </c>
      <c r="V41" s="19" t="str">
        <f aca="false">IF(OR(F41="",P41=""),"",NETWORKDAYS(F41,P41,Lists!$F$5:$F$40)-1)</f>
        <v/>
      </c>
      <c r="W41" s="18" t="str">
        <f aca="false">IF(V41="","",IF(V41=0,"Same day","Overnight"))</f>
        <v/>
      </c>
      <c r="X41" s="18" t="str">
        <f aca="false">IF(OR(E41="",F41=""),"",IF(AND(E41&gt;=F41,OR(P41="",E41&lt;=P41)),"Yes","No"))</f>
        <v/>
      </c>
      <c r="Y41" s="20" t="str">
        <f aca="false">IF(A41="","",N(G41)-N(L41)-N(N41))</f>
        <v/>
      </c>
      <c r="Z41" s="21" t="str">
        <f aca="false">IF(OR(G41="",H41="",I41=""),"",ABS(H41-I41)*G41)</f>
        <v/>
      </c>
      <c r="AA41" s="22" t="str">
        <f aca="false">IF(OR(J41="",N(Z41)=0),"",ABS(J41-H41)/ABS(H41-I41))</f>
        <v/>
      </c>
      <c r="AB41" s="23" t="str">
        <f aca="false">IF(U41&lt;&gt;"Closed","",(N(L41)*N(M41)+N(N41)*N(O41)+Y41*Q41)/G41)</f>
        <v/>
      </c>
      <c r="AC41" s="24" t="str">
        <f aca="false">IF(U41&lt;&gt;"Closed","",IF($B41="Short",-1,1)*((N(M41)-H41)*N(L41)+(N(O41)-H41)*N(N41)+(Q41-H41)*Y41)-N(R41))</f>
        <v/>
      </c>
      <c r="AD41" s="25" t="str">
        <f aca="false">IF(OR(AC41="",N(Z41)=0),"",AC41/Z41)</f>
        <v/>
      </c>
      <c r="AE41" s="25" t="str">
        <f aca="false">IF(OR(S41="",N(Z41)=0),"",IF($B41="Short",-1,1)*(S41-H41)*G41/Z41)</f>
        <v/>
      </c>
      <c r="AF41" s="25" t="str">
        <f aca="false">IF(OR(T41="",N(Z41)=0),"",IF($B41="Short",-1,1)*(T41-H41)*G41/Z41)</f>
        <v/>
      </c>
      <c r="AG41" s="21" t="str">
        <f aca="false">IF(U41&lt;&gt;"Open","",Y41*MAX(0,IF($B41="Short",-1,1)*(H41-IF(K41="",I41,K41))))</f>
        <v/>
      </c>
      <c r="AH41" s="26" t="str">
        <f aca="false">IF(U41&lt;&gt;"Closed","",DATE(YEAR(P41),MONTH(P41),1))</f>
        <v/>
      </c>
      <c r="AI41" s="19" t="str">
        <f aca="false">IF(U41&lt;&gt;"Closed","",COUNTIFS($U$7:$U$506,"Closed",$P$7:$P$506,"&lt;"&amp;P41)+COUNTIFS($U$7:U41,"Closed",$P$7:P41,P41))</f>
        <v/>
      </c>
    </row>
    <row r="42" customFormat="false" ht="15" hidden="false" customHeight="false" outlineLevel="0" collapsed="false">
      <c r="A42" s="13"/>
      <c r="B42" s="14"/>
      <c r="C42" s="14"/>
      <c r="D42" s="14"/>
      <c r="E42" s="15"/>
      <c r="F42" s="15"/>
      <c r="G42" s="16"/>
      <c r="H42" s="17"/>
      <c r="I42" s="17"/>
      <c r="J42" s="17"/>
      <c r="K42" s="17"/>
      <c r="L42" s="16"/>
      <c r="M42" s="17"/>
      <c r="N42" s="16"/>
      <c r="O42" s="17"/>
      <c r="P42" s="15"/>
      <c r="Q42" s="17"/>
      <c r="R42" s="17"/>
      <c r="S42" s="17"/>
      <c r="T42" s="17"/>
      <c r="U42" s="18" t="str">
        <f aca="false">IF(A42="","",IF(N(G42)-N(L42)-N(N42)&lt;0,"Check shares",IF(AND(P42&lt;&gt;"",Q42&lt;&gt;""),"Closed","Open")))</f>
        <v/>
      </c>
      <c r="V42" s="19" t="str">
        <f aca="false">IF(OR(F42="",P42=""),"",NETWORKDAYS(F42,P42,Lists!$F$5:$F$40)-1)</f>
        <v/>
      </c>
      <c r="W42" s="18" t="str">
        <f aca="false">IF(V42="","",IF(V42=0,"Same day","Overnight"))</f>
        <v/>
      </c>
      <c r="X42" s="18" t="str">
        <f aca="false">IF(OR(E42="",F42=""),"",IF(AND(E42&gt;=F42,OR(P42="",E42&lt;=P42)),"Yes","No"))</f>
        <v/>
      </c>
      <c r="Y42" s="20" t="str">
        <f aca="false">IF(A42="","",N(G42)-N(L42)-N(N42))</f>
        <v/>
      </c>
      <c r="Z42" s="21" t="str">
        <f aca="false">IF(OR(G42="",H42="",I42=""),"",ABS(H42-I42)*G42)</f>
        <v/>
      </c>
      <c r="AA42" s="22" t="str">
        <f aca="false">IF(OR(J42="",N(Z42)=0),"",ABS(J42-H42)/ABS(H42-I42))</f>
        <v/>
      </c>
      <c r="AB42" s="23" t="str">
        <f aca="false">IF(U42&lt;&gt;"Closed","",(N(L42)*N(M42)+N(N42)*N(O42)+Y42*Q42)/G42)</f>
        <v/>
      </c>
      <c r="AC42" s="24" t="str">
        <f aca="false">IF(U42&lt;&gt;"Closed","",IF($B42="Short",-1,1)*((N(M42)-H42)*N(L42)+(N(O42)-H42)*N(N42)+(Q42-H42)*Y42)-N(R42))</f>
        <v/>
      </c>
      <c r="AD42" s="25" t="str">
        <f aca="false">IF(OR(AC42="",N(Z42)=0),"",AC42/Z42)</f>
        <v/>
      </c>
      <c r="AE42" s="25" t="str">
        <f aca="false">IF(OR(S42="",N(Z42)=0),"",IF($B42="Short",-1,1)*(S42-H42)*G42/Z42)</f>
        <v/>
      </c>
      <c r="AF42" s="25" t="str">
        <f aca="false">IF(OR(T42="",N(Z42)=0),"",IF($B42="Short",-1,1)*(T42-H42)*G42/Z42)</f>
        <v/>
      </c>
      <c r="AG42" s="21" t="str">
        <f aca="false">IF(U42&lt;&gt;"Open","",Y42*MAX(0,IF($B42="Short",-1,1)*(H42-IF(K42="",I42,K42))))</f>
        <v/>
      </c>
      <c r="AH42" s="26" t="str">
        <f aca="false">IF(U42&lt;&gt;"Closed","",DATE(YEAR(P42),MONTH(P42),1))</f>
        <v/>
      </c>
      <c r="AI42" s="19" t="str">
        <f aca="false">IF(U42&lt;&gt;"Closed","",COUNTIFS($U$7:$U$506,"Closed",$P$7:$P$506,"&lt;"&amp;P42)+COUNTIFS($U$7:U42,"Closed",$P$7:P42,P42))</f>
        <v/>
      </c>
    </row>
    <row r="43" customFormat="false" ht="15" hidden="false" customHeight="false" outlineLevel="0" collapsed="false">
      <c r="A43" s="13"/>
      <c r="B43" s="14"/>
      <c r="C43" s="14"/>
      <c r="D43" s="14"/>
      <c r="E43" s="15"/>
      <c r="F43" s="15"/>
      <c r="G43" s="16"/>
      <c r="H43" s="17"/>
      <c r="I43" s="17"/>
      <c r="J43" s="17"/>
      <c r="K43" s="17"/>
      <c r="L43" s="16"/>
      <c r="M43" s="17"/>
      <c r="N43" s="16"/>
      <c r="O43" s="17"/>
      <c r="P43" s="15"/>
      <c r="Q43" s="17"/>
      <c r="R43" s="17"/>
      <c r="S43" s="17"/>
      <c r="T43" s="17"/>
      <c r="U43" s="18" t="str">
        <f aca="false">IF(A43="","",IF(N(G43)-N(L43)-N(N43)&lt;0,"Check shares",IF(AND(P43&lt;&gt;"",Q43&lt;&gt;""),"Closed","Open")))</f>
        <v/>
      </c>
      <c r="V43" s="19" t="str">
        <f aca="false">IF(OR(F43="",P43=""),"",NETWORKDAYS(F43,P43,Lists!$F$5:$F$40)-1)</f>
        <v/>
      </c>
      <c r="W43" s="18" t="str">
        <f aca="false">IF(V43="","",IF(V43=0,"Same day","Overnight"))</f>
        <v/>
      </c>
      <c r="X43" s="18" t="str">
        <f aca="false">IF(OR(E43="",F43=""),"",IF(AND(E43&gt;=F43,OR(P43="",E43&lt;=P43)),"Yes","No"))</f>
        <v/>
      </c>
      <c r="Y43" s="20" t="str">
        <f aca="false">IF(A43="","",N(G43)-N(L43)-N(N43))</f>
        <v/>
      </c>
      <c r="Z43" s="21" t="str">
        <f aca="false">IF(OR(G43="",H43="",I43=""),"",ABS(H43-I43)*G43)</f>
        <v/>
      </c>
      <c r="AA43" s="22" t="str">
        <f aca="false">IF(OR(J43="",N(Z43)=0),"",ABS(J43-H43)/ABS(H43-I43))</f>
        <v/>
      </c>
      <c r="AB43" s="23" t="str">
        <f aca="false">IF(U43&lt;&gt;"Closed","",(N(L43)*N(M43)+N(N43)*N(O43)+Y43*Q43)/G43)</f>
        <v/>
      </c>
      <c r="AC43" s="24" t="str">
        <f aca="false">IF(U43&lt;&gt;"Closed","",IF($B43="Short",-1,1)*((N(M43)-H43)*N(L43)+(N(O43)-H43)*N(N43)+(Q43-H43)*Y43)-N(R43))</f>
        <v/>
      </c>
      <c r="AD43" s="25" t="str">
        <f aca="false">IF(OR(AC43="",N(Z43)=0),"",AC43/Z43)</f>
        <v/>
      </c>
      <c r="AE43" s="25" t="str">
        <f aca="false">IF(OR(S43="",N(Z43)=0),"",IF($B43="Short",-1,1)*(S43-H43)*G43/Z43)</f>
        <v/>
      </c>
      <c r="AF43" s="25" t="str">
        <f aca="false">IF(OR(T43="",N(Z43)=0),"",IF($B43="Short",-1,1)*(T43-H43)*G43/Z43)</f>
        <v/>
      </c>
      <c r="AG43" s="21" t="str">
        <f aca="false">IF(U43&lt;&gt;"Open","",Y43*MAX(0,IF($B43="Short",-1,1)*(H43-IF(K43="",I43,K43))))</f>
        <v/>
      </c>
      <c r="AH43" s="26" t="str">
        <f aca="false">IF(U43&lt;&gt;"Closed","",DATE(YEAR(P43),MONTH(P43),1))</f>
        <v/>
      </c>
      <c r="AI43" s="19" t="str">
        <f aca="false">IF(U43&lt;&gt;"Closed","",COUNTIFS($U$7:$U$506,"Closed",$P$7:$P$506,"&lt;"&amp;P43)+COUNTIFS($U$7:U43,"Closed",$P$7:P43,P43))</f>
        <v/>
      </c>
    </row>
    <row r="44" customFormat="false" ht="15" hidden="false" customHeight="false" outlineLevel="0" collapsed="false">
      <c r="A44" s="13"/>
      <c r="B44" s="14"/>
      <c r="C44" s="14"/>
      <c r="D44" s="14"/>
      <c r="E44" s="15"/>
      <c r="F44" s="15"/>
      <c r="G44" s="16"/>
      <c r="H44" s="17"/>
      <c r="I44" s="17"/>
      <c r="J44" s="17"/>
      <c r="K44" s="17"/>
      <c r="L44" s="16"/>
      <c r="M44" s="17"/>
      <c r="N44" s="16"/>
      <c r="O44" s="17"/>
      <c r="P44" s="15"/>
      <c r="Q44" s="17"/>
      <c r="R44" s="17"/>
      <c r="S44" s="17"/>
      <c r="T44" s="17"/>
      <c r="U44" s="18" t="str">
        <f aca="false">IF(A44="","",IF(N(G44)-N(L44)-N(N44)&lt;0,"Check shares",IF(AND(P44&lt;&gt;"",Q44&lt;&gt;""),"Closed","Open")))</f>
        <v/>
      </c>
      <c r="V44" s="19" t="str">
        <f aca="false">IF(OR(F44="",P44=""),"",NETWORKDAYS(F44,P44,Lists!$F$5:$F$40)-1)</f>
        <v/>
      </c>
      <c r="W44" s="18" t="str">
        <f aca="false">IF(V44="","",IF(V44=0,"Same day","Overnight"))</f>
        <v/>
      </c>
      <c r="X44" s="18" t="str">
        <f aca="false">IF(OR(E44="",F44=""),"",IF(AND(E44&gt;=F44,OR(P44="",E44&lt;=P44)),"Yes","No"))</f>
        <v/>
      </c>
      <c r="Y44" s="20" t="str">
        <f aca="false">IF(A44="","",N(G44)-N(L44)-N(N44))</f>
        <v/>
      </c>
      <c r="Z44" s="21" t="str">
        <f aca="false">IF(OR(G44="",H44="",I44=""),"",ABS(H44-I44)*G44)</f>
        <v/>
      </c>
      <c r="AA44" s="22" t="str">
        <f aca="false">IF(OR(J44="",N(Z44)=0),"",ABS(J44-H44)/ABS(H44-I44))</f>
        <v/>
      </c>
      <c r="AB44" s="23" t="str">
        <f aca="false">IF(U44&lt;&gt;"Closed","",(N(L44)*N(M44)+N(N44)*N(O44)+Y44*Q44)/G44)</f>
        <v/>
      </c>
      <c r="AC44" s="24" t="str">
        <f aca="false">IF(U44&lt;&gt;"Closed","",IF($B44="Short",-1,1)*((N(M44)-H44)*N(L44)+(N(O44)-H44)*N(N44)+(Q44-H44)*Y44)-N(R44))</f>
        <v/>
      </c>
      <c r="AD44" s="25" t="str">
        <f aca="false">IF(OR(AC44="",N(Z44)=0),"",AC44/Z44)</f>
        <v/>
      </c>
      <c r="AE44" s="25" t="str">
        <f aca="false">IF(OR(S44="",N(Z44)=0),"",IF($B44="Short",-1,1)*(S44-H44)*G44/Z44)</f>
        <v/>
      </c>
      <c r="AF44" s="25" t="str">
        <f aca="false">IF(OR(T44="",N(Z44)=0),"",IF($B44="Short",-1,1)*(T44-H44)*G44/Z44)</f>
        <v/>
      </c>
      <c r="AG44" s="21" t="str">
        <f aca="false">IF(U44&lt;&gt;"Open","",Y44*MAX(0,IF($B44="Short",-1,1)*(H44-IF(K44="",I44,K44))))</f>
        <v/>
      </c>
      <c r="AH44" s="26" t="str">
        <f aca="false">IF(U44&lt;&gt;"Closed","",DATE(YEAR(P44),MONTH(P44),1))</f>
        <v/>
      </c>
      <c r="AI44" s="19" t="str">
        <f aca="false">IF(U44&lt;&gt;"Closed","",COUNTIFS($U$7:$U$506,"Closed",$P$7:$P$506,"&lt;"&amp;P44)+COUNTIFS($U$7:U44,"Closed",$P$7:P44,P44))</f>
        <v/>
      </c>
    </row>
    <row r="45" customFormat="false" ht="15" hidden="false" customHeight="false" outlineLevel="0" collapsed="false">
      <c r="A45" s="13"/>
      <c r="B45" s="14"/>
      <c r="C45" s="14"/>
      <c r="D45" s="14"/>
      <c r="E45" s="15"/>
      <c r="F45" s="15"/>
      <c r="G45" s="16"/>
      <c r="H45" s="17"/>
      <c r="I45" s="17"/>
      <c r="J45" s="17"/>
      <c r="K45" s="17"/>
      <c r="L45" s="16"/>
      <c r="M45" s="17"/>
      <c r="N45" s="16"/>
      <c r="O45" s="17"/>
      <c r="P45" s="15"/>
      <c r="Q45" s="17"/>
      <c r="R45" s="17"/>
      <c r="S45" s="17"/>
      <c r="T45" s="17"/>
      <c r="U45" s="18" t="str">
        <f aca="false">IF(A45="","",IF(N(G45)-N(L45)-N(N45)&lt;0,"Check shares",IF(AND(P45&lt;&gt;"",Q45&lt;&gt;""),"Closed","Open")))</f>
        <v/>
      </c>
      <c r="V45" s="19" t="str">
        <f aca="false">IF(OR(F45="",P45=""),"",NETWORKDAYS(F45,P45,Lists!$F$5:$F$40)-1)</f>
        <v/>
      </c>
      <c r="W45" s="18" t="str">
        <f aca="false">IF(V45="","",IF(V45=0,"Same day","Overnight"))</f>
        <v/>
      </c>
      <c r="X45" s="18" t="str">
        <f aca="false">IF(OR(E45="",F45=""),"",IF(AND(E45&gt;=F45,OR(P45="",E45&lt;=P45)),"Yes","No"))</f>
        <v/>
      </c>
      <c r="Y45" s="20" t="str">
        <f aca="false">IF(A45="","",N(G45)-N(L45)-N(N45))</f>
        <v/>
      </c>
      <c r="Z45" s="21" t="str">
        <f aca="false">IF(OR(G45="",H45="",I45=""),"",ABS(H45-I45)*G45)</f>
        <v/>
      </c>
      <c r="AA45" s="22" t="str">
        <f aca="false">IF(OR(J45="",N(Z45)=0),"",ABS(J45-H45)/ABS(H45-I45))</f>
        <v/>
      </c>
      <c r="AB45" s="23" t="str">
        <f aca="false">IF(U45&lt;&gt;"Closed","",(N(L45)*N(M45)+N(N45)*N(O45)+Y45*Q45)/G45)</f>
        <v/>
      </c>
      <c r="AC45" s="24" t="str">
        <f aca="false">IF(U45&lt;&gt;"Closed","",IF($B45="Short",-1,1)*((N(M45)-H45)*N(L45)+(N(O45)-H45)*N(N45)+(Q45-H45)*Y45)-N(R45))</f>
        <v/>
      </c>
      <c r="AD45" s="25" t="str">
        <f aca="false">IF(OR(AC45="",N(Z45)=0),"",AC45/Z45)</f>
        <v/>
      </c>
      <c r="AE45" s="25" t="str">
        <f aca="false">IF(OR(S45="",N(Z45)=0),"",IF($B45="Short",-1,1)*(S45-H45)*G45/Z45)</f>
        <v/>
      </c>
      <c r="AF45" s="25" t="str">
        <f aca="false">IF(OR(T45="",N(Z45)=0),"",IF($B45="Short",-1,1)*(T45-H45)*G45/Z45)</f>
        <v/>
      </c>
      <c r="AG45" s="21" t="str">
        <f aca="false">IF(U45&lt;&gt;"Open","",Y45*MAX(0,IF($B45="Short",-1,1)*(H45-IF(K45="",I45,K45))))</f>
        <v/>
      </c>
      <c r="AH45" s="26" t="str">
        <f aca="false">IF(U45&lt;&gt;"Closed","",DATE(YEAR(P45),MONTH(P45),1))</f>
        <v/>
      </c>
      <c r="AI45" s="19" t="str">
        <f aca="false">IF(U45&lt;&gt;"Closed","",COUNTIFS($U$7:$U$506,"Closed",$P$7:$P$506,"&lt;"&amp;P45)+COUNTIFS($U$7:U45,"Closed",$P$7:P45,P45))</f>
        <v/>
      </c>
    </row>
    <row r="46" customFormat="false" ht="15" hidden="false" customHeight="false" outlineLevel="0" collapsed="false">
      <c r="A46" s="13"/>
      <c r="B46" s="14"/>
      <c r="C46" s="14"/>
      <c r="D46" s="14"/>
      <c r="E46" s="15"/>
      <c r="F46" s="15"/>
      <c r="G46" s="16"/>
      <c r="H46" s="17"/>
      <c r="I46" s="17"/>
      <c r="J46" s="17"/>
      <c r="K46" s="17"/>
      <c r="L46" s="16"/>
      <c r="M46" s="17"/>
      <c r="N46" s="16"/>
      <c r="O46" s="17"/>
      <c r="P46" s="15"/>
      <c r="Q46" s="17"/>
      <c r="R46" s="17"/>
      <c r="S46" s="17"/>
      <c r="T46" s="17"/>
      <c r="U46" s="18" t="str">
        <f aca="false">IF(A46="","",IF(N(G46)-N(L46)-N(N46)&lt;0,"Check shares",IF(AND(P46&lt;&gt;"",Q46&lt;&gt;""),"Closed","Open")))</f>
        <v/>
      </c>
      <c r="V46" s="19" t="str">
        <f aca="false">IF(OR(F46="",P46=""),"",NETWORKDAYS(F46,P46,Lists!$F$5:$F$40)-1)</f>
        <v/>
      </c>
      <c r="W46" s="18" t="str">
        <f aca="false">IF(V46="","",IF(V46=0,"Same day","Overnight"))</f>
        <v/>
      </c>
      <c r="X46" s="18" t="str">
        <f aca="false">IF(OR(E46="",F46=""),"",IF(AND(E46&gt;=F46,OR(P46="",E46&lt;=P46)),"Yes","No"))</f>
        <v/>
      </c>
      <c r="Y46" s="20" t="str">
        <f aca="false">IF(A46="","",N(G46)-N(L46)-N(N46))</f>
        <v/>
      </c>
      <c r="Z46" s="21" t="str">
        <f aca="false">IF(OR(G46="",H46="",I46=""),"",ABS(H46-I46)*G46)</f>
        <v/>
      </c>
      <c r="AA46" s="22" t="str">
        <f aca="false">IF(OR(J46="",N(Z46)=0),"",ABS(J46-H46)/ABS(H46-I46))</f>
        <v/>
      </c>
      <c r="AB46" s="23" t="str">
        <f aca="false">IF(U46&lt;&gt;"Closed","",(N(L46)*N(M46)+N(N46)*N(O46)+Y46*Q46)/G46)</f>
        <v/>
      </c>
      <c r="AC46" s="24" t="str">
        <f aca="false">IF(U46&lt;&gt;"Closed","",IF($B46="Short",-1,1)*((N(M46)-H46)*N(L46)+(N(O46)-H46)*N(N46)+(Q46-H46)*Y46)-N(R46))</f>
        <v/>
      </c>
      <c r="AD46" s="25" t="str">
        <f aca="false">IF(OR(AC46="",N(Z46)=0),"",AC46/Z46)</f>
        <v/>
      </c>
      <c r="AE46" s="25" t="str">
        <f aca="false">IF(OR(S46="",N(Z46)=0),"",IF($B46="Short",-1,1)*(S46-H46)*G46/Z46)</f>
        <v/>
      </c>
      <c r="AF46" s="25" t="str">
        <f aca="false">IF(OR(T46="",N(Z46)=0),"",IF($B46="Short",-1,1)*(T46-H46)*G46/Z46)</f>
        <v/>
      </c>
      <c r="AG46" s="21" t="str">
        <f aca="false">IF(U46&lt;&gt;"Open","",Y46*MAX(0,IF($B46="Short",-1,1)*(H46-IF(K46="",I46,K46))))</f>
        <v/>
      </c>
      <c r="AH46" s="26" t="str">
        <f aca="false">IF(U46&lt;&gt;"Closed","",DATE(YEAR(P46),MONTH(P46),1))</f>
        <v/>
      </c>
      <c r="AI46" s="19" t="str">
        <f aca="false">IF(U46&lt;&gt;"Closed","",COUNTIFS($U$7:$U$506,"Closed",$P$7:$P$506,"&lt;"&amp;P46)+COUNTIFS($U$7:U46,"Closed",$P$7:P46,P46))</f>
        <v/>
      </c>
    </row>
    <row r="47" customFormat="false" ht="15" hidden="false" customHeight="false" outlineLevel="0" collapsed="false">
      <c r="A47" s="13"/>
      <c r="B47" s="14"/>
      <c r="C47" s="14"/>
      <c r="D47" s="14"/>
      <c r="E47" s="15"/>
      <c r="F47" s="15"/>
      <c r="G47" s="16"/>
      <c r="H47" s="17"/>
      <c r="I47" s="17"/>
      <c r="J47" s="17"/>
      <c r="K47" s="17"/>
      <c r="L47" s="16"/>
      <c r="M47" s="17"/>
      <c r="N47" s="16"/>
      <c r="O47" s="17"/>
      <c r="P47" s="15"/>
      <c r="Q47" s="17"/>
      <c r="R47" s="17"/>
      <c r="S47" s="17"/>
      <c r="T47" s="17"/>
      <c r="U47" s="18" t="str">
        <f aca="false">IF(A47="","",IF(N(G47)-N(L47)-N(N47)&lt;0,"Check shares",IF(AND(P47&lt;&gt;"",Q47&lt;&gt;""),"Closed","Open")))</f>
        <v/>
      </c>
      <c r="V47" s="19" t="str">
        <f aca="false">IF(OR(F47="",P47=""),"",NETWORKDAYS(F47,P47,Lists!$F$5:$F$40)-1)</f>
        <v/>
      </c>
      <c r="W47" s="18" t="str">
        <f aca="false">IF(V47="","",IF(V47=0,"Same day","Overnight"))</f>
        <v/>
      </c>
      <c r="X47" s="18" t="str">
        <f aca="false">IF(OR(E47="",F47=""),"",IF(AND(E47&gt;=F47,OR(P47="",E47&lt;=P47)),"Yes","No"))</f>
        <v/>
      </c>
      <c r="Y47" s="20" t="str">
        <f aca="false">IF(A47="","",N(G47)-N(L47)-N(N47))</f>
        <v/>
      </c>
      <c r="Z47" s="21" t="str">
        <f aca="false">IF(OR(G47="",H47="",I47=""),"",ABS(H47-I47)*G47)</f>
        <v/>
      </c>
      <c r="AA47" s="22" t="str">
        <f aca="false">IF(OR(J47="",N(Z47)=0),"",ABS(J47-H47)/ABS(H47-I47))</f>
        <v/>
      </c>
      <c r="AB47" s="23" t="str">
        <f aca="false">IF(U47&lt;&gt;"Closed","",(N(L47)*N(M47)+N(N47)*N(O47)+Y47*Q47)/G47)</f>
        <v/>
      </c>
      <c r="AC47" s="24" t="str">
        <f aca="false">IF(U47&lt;&gt;"Closed","",IF($B47="Short",-1,1)*((N(M47)-H47)*N(L47)+(N(O47)-H47)*N(N47)+(Q47-H47)*Y47)-N(R47))</f>
        <v/>
      </c>
      <c r="AD47" s="25" t="str">
        <f aca="false">IF(OR(AC47="",N(Z47)=0),"",AC47/Z47)</f>
        <v/>
      </c>
      <c r="AE47" s="25" t="str">
        <f aca="false">IF(OR(S47="",N(Z47)=0),"",IF($B47="Short",-1,1)*(S47-H47)*G47/Z47)</f>
        <v/>
      </c>
      <c r="AF47" s="25" t="str">
        <f aca="false">IF(OR(T47="",N(Z47)=0),"",IF($B47="Short",-1,1)*(T47-H47)*G47/Z47)</f>
        <v/>
      </c>
      <c r="AG47" s="21" t="str">
        <f aca="false">IF(U47&lt;&gt;"Open","",Y47*MAX(0,IF($B47="Short",-1,1)*(H47-IF(K47="",I47,K47))))</f>
        <v/>
      </c>
      <c r="AH47" s="26" t="str">
        <f aca="false">IF(U47&lt;&gt;"Closed","",DATE(YEAR(P47),MONTH(P47),1))</f>
        <v/>
      </c>
      <c r="AI47" s="19" t="str">
        <f aca="false">IF(U47&lt;&gt;"Closed","",COUNTIFS($U$7:$U$506,"Closed",$P$7:$P$506,"&lt;"&amp;P47)+COUNTIFS($U$7:U47,"Closed",$P$7:P47,P47))</f>
        <v/>
      </c>
    </row>
    <row r="48" customFormat="false" ht="15" hidden="false" customHeight="false" outlineLevel="0" collapsed="false">
      <c r="A48" s="13"/>
      <c r="B48" s="14"/>
      <c r="C48" s="14"/>
      <c r="D48" s="14"/>
      <c r="E48" s="15"/>
      <c r="F48" s="15"/>
      <c r="G48" s="16"/>
      <c r="H48" s="17"/>
      <c r="I48" s="17"/>
      <c r="J48" s="17"/>
      <c r="K48" s="17"/>
      <c r="L48" s="16"/>
      <c r="M48" s="17"/>
      <c r="N48" s="16"/>
      <c r="O48" s="17"/>
      <c r="P48" s="15"/>
      <c r="Q48" s="17"/>
      <c r="R48" s="17"/>
      <c r="S48" s="17"/>
      <c r="T48" s="17"/>
      <c r="U48" s="18" t="str">
        <f aca="false">IF(A48="","",IF(N(G48)-N(L48)-N(N48)&lt;0,"Check shares",IF(AND(P48&lt;&gt;"",Q48&lt;&gt;""),"Closed","Open")))</f>
        <v/>
      </c>
      <c r="V48" s="19" t="str">
        <f aca="false">IF(OR(F48="",P48=""),"",NETWORKDAYS(F48,P48,Lists!$F$5:$F$40)-1)</f>
        <v/>
      </c>
      <c r="W48" s="18" t="str">
        <f aca="false">IF(V48="","",IF(V48=0,"Same day","Overnight"))</f>
        <v/>
      </c>
      <c r="X48" s="18" t="str">
        <f aca="false">IF(OR(E48="",F48=""),"",IF(AND(E48&gt;=F48,OR(P48="",E48&lt;=P48)),"Yes","No"))</f>
        <v/>
      </c>
      <c r="Y48" s="20" t="str">
        <f aca="false">IF(A48="","",N(G48)-N(L48)-N(N48))</f>
        <v/>
      </c>
      <c r="Z48" s="21" t="str">
        <f aca="false">IF(OR(G48="",H48="",I48=""),"",ABS(H48-I48)*G48)</f>
        <v/>
      </c>
      <c r="AA48" s="22" t="str">
        <f aca="false">IF(OR(J48="",N(Z48)=0),"",ABS(J48-H48)/ABS(H48-I48))</f>
        <v/>
      </c>
      <c r="AB48" s="23" t="str">
        <f aca="false">IF(U48&lt;&gt;"Closed","",(N(L48)*N(M48)+N(N48)*N(O48)+Y48*Q48)/G48)</f>
        <v/>
      </c>
      <c r="AC48" s="24" t="str">
        <f aca="false">IF(U48&lt;&gt;"Closed","",IF($B48="Short",-1,1)*((N(M48)-H48)*N(L48)+(N(O48)-H48)*N(N48)+(Q48-H48)*Y48)-N(R48))</f>
        <v/>
      </c>
      <c r="AD48" s="25" t="str">
        <f aca="false">IF(OR(AC48="",N(Z48)=0),"",AC48/Z48)</f>
        <v/>
      </c>
      <c r="AE48" s="25" t="str">
        <f aca="false">IF(OR(S48="",N(Z48)=0),"",IF($B48="Short",-1,1)*(S48-H48)*G48/Z48)</f>
        <v/>
      </c>
      <c r="AF48" s="25" t="str">
        <f aca="false">IF(OR(T48="",N(Z48)=0),"",IF($B48="Short",-1,1)*(T48-H48)*G48/Z48)</f>
        <v/>
      </c>
      <c r="AG48" s="21" t="str">
        <f aca="false">IF(U48&lt;&gt;"Open","",Y48*MAX(0,IF($B48="Short",-1,1)*(H48-IF(K48="",I48,K48))))</f>
        <v/>
      </c>
      <c r="AH48" s="26" t="str">
        <f aca="false">IF(U48&lt;&gt;"Closed","",DATE(YEAR(P48),MONTH(P48),1))</f>
        <v/>
      </c>
      <c r="AI48" s="19" t="str">
        <f aca="false">IF(U48&lt;&gt;"Closed","",COUNTIFS($U$7:$U$506,"Closed",$P$7:$P$506,"&lt;"&amp;P48)+COUNTIFS($U$7:U48,"Closed",$P$7:P48,P48))</f>
        <v/>
      </c>
    </row>
    <row r="49" customFormat="false" ht="15" hidden="false" customHeight="false" outlineLevel="0" collapsed="false">
      <c r="A49" s="13"/>
      <c r="B49" s="14"/>
      <c r="C49" s="14"/>
      <c r="D49" s="14"/>
      <c r="E49" s="15"/>
      <c r="F49" s="15"/>
      <c r="G49" s="16"/>
      <c r="H49" s="17"/>
      <c r="I49" s="17"/>
      <c r="J49" s="17"/>
      <c r="K49" s="17"/>
      <c r="L49" s="16"/>
      <c r="M49" s="17"/>
      <c r="N49" s="16"/>
      <c r="O49" s="17"/>
      <c r="P49" s="15"/>
      <c r="Q49" s="17"/>
      <c r="R49" s="17"/>
      <c r="S49" s="17"/>
      <c r="T49" s="17"/>
      <c r="U49" s="18" t="str">
        <f aca="false">IF(A49="","",IF(N(G49)-N(L49)-N(N49)&lt;0,"Check shares",IF(AND(P49&lt;&gt;"",Q49&lt;&gt;""),"Closed","Open")))</f>
        <v/>
      </c>
      <c r="V49" s="19" t="str">
        <f aca="false">IF(OR(F49="",P49=""),"",NETWORKDAYS(F49,P49,Lists!$F$5:$F$40)-1)</f>
        <v/>
      </c>
      <c r="W49" s="18" t="str">
        <f aca="false">IF(V49="","",IF(V49=0,"Same day","Overnight"))</f>
        <v/>
      </c>
      <c r="X49" s="18" t="str">
        <f aca="false">IF(OR(E49="",F49=""),"",IF(AND(E49&gt;=F49,OR(P49="",E49&lt;=P49)),"Yes","No"))</f>
        <v/>
      </c>
      <c r="Y49" s="20" t="str">
        <f aca="false">IF(A49="","",N(G49)-N(L49)-N(N49))</f>
        <v/>
      </c>
      <c r="Z49" s="21" t="str">
        <f aca="false">IF(OR(G49="",H49="",I49=""),"",ABS(H49-I49)*G49)</f>
        <v/>
      </c>
      <c r="AA49" s="22" t="str">
        <f aca="false">IF(OR(J49="",N(Z49)=0),"",ABS(J49-H49)/ABS(H49-I49))</f>
        <v/>
      </c>
      <c r="AB49" s="23" t="str">
        <f aca="false">IF(U49&lt;&gt;"Closed","",(N(L49)*N(M49)+N(N49)*N(O49)+Y49*Q49)/G49)</f>
        <v/>
      </c>
      <c r="AC49" s="24" t="str">
        <f aca="false">IF(U49&lt;&gt;"Closed","",IF($B49="Short",-1,1)*((N(M49)-H49)*N(L49)+(N(O49)-H49)*N(N49)+(Q49-H49)*Y49)-N(R49))</f>
        <v/>
      </c>
      <c r="AD49" s="25" t="str">
        <f aca="false">IF(OR(AC49="",N(Z49)=0),"",AC49/Z49)</f>
        <v/>
      </c>
      <c r="AE49" s="25" t="str">
        <f aca="false">IF(OR(S49="",N(Z49)=0),"",IF($B49="Short",-1,1)*(S49-H49)*G49/Z49)</f>
        <v/>
      </c>
      <c r="AF49" s="25" t="str">
        <f aca="false">IF(OR(T49="",N(Z49)=0),"",IF($B49="Short",-1,1)*(T49-H49)*G49/Z49)</f>
        <v/>
      </c>
      <c r="AG49" s="21" t="str">
        <f aca="false">IF(U49&lt;&gt;"Open","",Y49*MAX(0,IF($B49="Short",-1,1)*(H49-IF(K49="",I49,K49))))</f>
        <v/>
      </c>
      <c r="AH49" s="26" t="str">
        <f aca="false">IF(U49&lt;&gt;"Closed","",DATE(YEAR(P49),MONTH(P49),1))</f>
        <v/>
      </c>
      <c r="AI49" s="19" t="str">
        <f aca="false">IF(U49&lt;&gt;"Closed","",COUNTIFS($U$7:$U$506,"Closed",$P$7:$P$506,"&lt;"&amp;P49)+COUNTIFS($U$7:U49,"Closed",$P$7:P49,P49))</f>
        <v/>
      </c>
    </row>
    <row r="50" customFormat="false" ht="15" hidden="false" customHeight="false" outlineLevel="0" collapsed="false">
      <c r="A50" s="13"/>
      <c r="B50" s="14"/>
      <c r="C50" s="14"/>
      <c r="D50" s="14"/>
      <c r="E50" s="15"/>
      <c r="F50" s="15"/>
      <c r="G50" s="16"/>
      <c r="H50" s="17"/>
      <c r="I50" s="17"/>
      <c r="J50" s="17"/>
      <c r="K50" s="17"/>
      <c r="L50" s="16"/>
      <c r="M50" s="17"/>
      <c r="N50" s="16"/>
      <c r="O50" s="17"/>
      <c r="P50" s="15"/>
      <c r="Q50" s="17"/>
      <c r="R50" s="17"/>
      <c r="S50" s="17"/>
      <c r="T50" s="17"/>
      <c r="U50" s="18" t="str">
        <f aca="false">IF(A50="","",IF(N(G50)-N(L50)-N(N50)&lt;0,"Check shares",IF(AND(P50&lt;&gt;"",Q50&lt;&gt;""),"Closed","Open")))</f>
        <v/>
      </c>
      <c r="V50" s="19" t="str">
        <f aca="false">IF(OR(F50="",P50=""),"",NETWORKDAYS(F50,P50,Lists!$F$5:$F$40)-1)</f>
        <v/>
      </c>
      <c r="W50" s="18" t="str">
        <f aca="false">IF(V50="","",IF(V50=0,"Same day","Overnight"))</f>
        <v/>
      </c>
      <c r="X50" s="18" t="str">
        <f aca="false">IF(OR(E50="",F50=""),"",IF(AND(E50&gt;=F50,OR(P50="",E50&lt;=P50)),"Yes","No"))</f>
        <v/>
      </c>
      <c r="Y50" s="20" t="str">
        <f aca="false">IF(A50="","",N(G50)-N(L50)-N(N50))</f>
        <v/>
      </c>
      <c r="Z50" s="21" t="str">
        <f aca="false">IF(OR(G50="",H50="",I50=""),"",ABS(H50-I50)*G50)</f>
        <v/>
      </c>
      <c r="AA50" s="22" t="str">
        <f aca="false">IF(OR(J50="",N(Z50)=0),"",ABS(J50-H50)/ABS(H50-I50))</f>
        <v/>
      </c>
      <c r="AB50" s="23" t="str">
        <f aca="false">IF(U50&lt;&gt;"Closed","",(N(L50)*N(M50)+N(N50)*N(O50)+Y50*Q50)/G50)</f>
        <v/>
      </c>
      <c r="AC50" s="24" t="str">
        <f aca="false">IF(U50&lt;&gt;"Closed","",IF($B50="Short",-1,1)*((N(M50)-H50)*N(L50)+(N(O50)-H50)*N(N50)+(Q50-H50)*Y50)-N(R50))</f>
        <v/>
      </c>
      <c r="AD50" s="25" t="str">
        <f aca="false">IF(OR(AC50="",N(Z50)=0),"",AC50/Z50)</f>
        <v/>
      </c>
      <c r="AE50" s="25" t="str">
        <f aca="false">IF(OR(S50="",N(Z50)=0),"",IF($B50="Short",-1,1)*(S50-H50)*G50/Z50)</f>
        <v/>
      </c>
      <c r="AF50" s="25" t="str">
        <f aca="false">IF(OR(T50="",N(Z50)=0),"",IF($B50="Short",-1,1)*(T50-H50)*G50/Z50)</f>
        <v/>
      </c>
      <c r="AG50" s="21" t="str">
        <f aca="false">IF(U50&lt;&gt;"Open","",Y50*MAX(0,IF($B50="Short",-1,1)*(H50-IF(K50="",I50,K50))))</f>
        <v/>
      </c>
      <c r="AH50" s="26" t="str">
        <f aca="false">IF(U50&lt;&gt;"Closed","",DATE(YEAR(P50),MONTH(P50),1))</f>
        <v/>
      </c>
      <c r="AI50" s="19" t="str">
        <f aca="false">IF(U50&lt;&gt;"Closed","",COUNTIFS($U$7:$U$506,"Closed",$P$7:$P$506,"&lt;"&amp;P50)+COUNTIFS($U$7:U50,"Closed",$P$7:P50,P50))</f>
        <v/>
      </c>
    </row>
    <row r="51" customFormat="false" ht="15" hidden="false" customHeight="false" outlineLevel="0" collapsed="false">
      <c r="A51" s="13"/>
      <c r="B51" s="14"/>
      <c r="C51" s="14"/>
      <c r="D51" s="14"/>
      <c r="E51" s="15"/>
      <c r="F51" s="15"/>
      <c r="G51" s="16"/>
      <c r="H51" s="17"/>
      <c r="I51" s="17"/>
      <c r="J51" s="17"/>
      <c r="K51" s="17"/>
      <c r="L51" s="16"/>
      <c r="M51" s="17"/>
      <c r="N51" s="16"/>
      <c r="O51" s="17"/>
      <c r="P51" s="15"/>
      <c r="Q51" s="17"/>
      <c r="R51" s="17"/>
      <c r="S51" s="17"/>
      <c r="T51" s="17"/>
      <c r="U51" s="18" t="str">
        <f aca="false">IF(A51="","",IF(N(G51)-N(L51)-N(N51)&lt;0,"Check shares",IF(AND(P51&lt;&gt;"",Q51&lt;&gt;""),"Closed","Open")))</f>
        <v/>
      </c>
      <c r="V51" s="19" t="str">
        <f aca="false">IF(OR(F51="",P51=""),"",NETWORKDAYS(F51,P51,Lists!$F$5:$F$40)-1)</f>
        <v/>
      </c>
      <c r="W51" s="18" t="str">
        <f aca="false">IF(V51="","",IF(V51=0,"Same day","Overnight"))</f>
        <v/>
      </c>
      <c r="X51" s="18" t="str">
        <f aca="false">IF(OR(E51="",F51=""),"",IF(AND(E51&gt;=F51,OR(P51="",E51&lt;=P51)),"Yes","No"))</f>
        <v/>
      </c>
      <c r="Y51" s="20" t="str">
        <f aca="false">IF(A51="","",N(G51)-N(L51)-N(N51))</f>
        <v/>
      </c>
      <c r="Z51" s="21" t="str">
        <f aca="false">IF(OR(G51="",H51="",I51=""),"",ABS(H51-I51)*G51)</f>
        <v/>
      </c>
      <c r="AA51" s="22" t="str">
        <f aca="false">IF(OR(J51="",N(Z51)=0),"",ABS(J51-H51)/ABS(H51-I51))</f>
        <v/>
      </c>
      <c r="AB51" s="23" t="str">
        <f aca="false">IF(U51&lt;&gt;"Closed","",(N(L51)*N(M51)+N(N51)*N(O51)+Y51*Q51)/G51)</f>
        <v/>
      </c>
      <c r="AC51" s="24" t="str">
        <f aca="false">IF(U51&lt;&gt;"Closed","",IF($B51="Short",-1,1)*((N(M51)-H51)*N(L51)+(N(O51)-H51)*N(N51)+(Q51-H51)*Y51)-N(R51))</f>
        <v/>
      </c>
      <c r="AD51" s="25" t="str">
        <f aca="false">IF(OR(AC51="",N(Z51)=0),"",AC51/Z51)</f>
        <v/>
      </c>
      <c r="AE51" s="25" t="str">
        <f aca="false">IF(OR(S51="",N(Z51)=0),"",IF($B51="Short",-1,1)*(S51-H51)*G51/Z51)</f>
        <v/>
      </c>
      <c r="AF51" s="25" t="str">
        <f aca="false">IF(OR(T51="",N(Z51)=0),"",IF($B51="Short",-1,1)*(T51-H51)*G51/Z51)</f>
        <v/>
      </c>
      <c r="AG51" s="21" t="str">
        <f aca="false">IF(U51&lt;&gt;"Open","",Y51*MAX(0,IF($B51="Short",-1,1)*(H51-IF(K51="",I51,K51))))</f>
        <v/>
      </c>
      <c r="AH51" s="26" t="str">
        <f aca="false">IF(U51&lt;&gt;"Closed","",DATE(YEAR(P51),MONTH(P51),1))</f>
        <v/>
      </c>
      <c r="AI51" s="19" t="str">
        <f aca="false">IF(U51&lt;&gt;"Closed","",COUNTIFS($U$7:$U$506,"Closed",$P$7:$P$506,"&lt;"&amp;P51)+COUNTIFS($U$7:U51,"Closed",$P$7:P51,P51))</f>
        <v/>
      </c>
    </row>
    <row r="52" customFormat="false" ht="15" hidden="false" customHeight="false" outlineLevel="0" collapsed="false">
      <c r="A52" s="13"/>
      <c r="B52" s="14"/>
      <c r="C52" s="14"/>
      <c r="D52" s="14"/>
      <c r="E52" s="15"/>
      <c r="F52" s="15"/>
      <c r="G52" s="16"/>
      <c r="H52" s="17"/>
      <c r="I52" s="17"/>
      <c r="J52" s="17"/>
      <c r="K52" s="17"/>
      <c r="L52" s="16"/>
      <c r="M52" s="17"/>
      <c r="N52" s="16"/>
      <c r="O52" s="17"/>
      <c r="P52" s="15"/>
      <c r="Q52" s="17"/>
      <c r="R52" s="17"/>
      <c r="S52" s="17"/>
      <c r="T52" s="17"/>
      <c r="U52" s="18" t="str">
        <f aca="false">IF(A52="","",IF(N(G52)-N(L52)-N(N52)&lt;0,"Check shares",IF(AND(P52&lt;&gt;"",Q52&lt;&gt;""),"Closed","Open")))</f>
        <v/>
      </c>
      <c r="V52" s="19" t="str">
        <f aca="false">IF(OR(F52="",P52=""),"",NETWORKDAYS(F52,P52,Lists!$F$5:$F$40)-1)</f>
        <v/>
      </c>
      <c r="W52" s="18" t="str">
        <f aca="false">IF(V52="","",IF(V52=0,"Same day","Overnight"))</f>
        <v/>
      </c>
      <c r="X52" s="18" t="str">
        <f aca="false">IF(OR(E52="",F52=""),"",IF(AND(E52&gt;=F52,OR(P52="",E52&lt;=P52)),"Yes","No"))</f>
        <v/>
      </c>
      <c r="Y52" s="20" t="str">
        <f aca="false">IF(A52="","",N(G52)-N(L52)-N(N52))</f>
        <v/>
      </c>
      <c r="Z52" s="21" t="str">
        <f aca="false">IF(OR(G52="",H52="",I52=""),"",ABS(H52-I52)*G52)</f>
        <v/>
      </c>
      <c r="AA52" s="22" t="str">
        <f aca="false">IF(OR(J52="",N(Z52)=0),"",ABS(J52-H52)/ABS(H52-I52))</f>
        <v/>
      </c>
      <c r="AB52" s="23" t="str">
        <f aca="false">IF(U52&lt;&gt;"Closed","",(N(L52)*N(M52)+N(N52)*N(O52)+Y52*Q52)/G52)</f>
        <v/>
      </c>
      <c r="AC52" s="24" t="str">
        <f aca="false">IF(U52&lt;&gt;"Closed","",IF($B52="Short",-1,1)*((N(M52)-H52)*N(L52)+(N(O52)-H52)*N(N52)+(Q52-H52)*Y52)-N(R52))</f>
        <v/>
      </c>
      <c r="AD52" s="25" t="str">
        <f aca="false">IF(OR(AC52="",N(Z52)=0),"",AC52/Z52)</f>
        <v/>
      </c>
      <c r="AE52" s="25" t="str">
        <f aca="false">IF(OR(S52="",N(Z52)=0),"",IF($B52="Short",-1,1)*(S52-H52)*G52/Z52)</f>
        <v/>
      </c>
      <c r="AF52" s="25" t="str">
        <f aca="false">IF(OR(T52="",N(Z52)=0),"",IF($B52="Short",-1,1)*(T52-H52)*G52/Z52)</f>
        <v/>
      </c>
      <c r="AG52" s="21" t="str">
        <f aca="false">IF(U52&lt;&gt;"Open","",Y52*MAX(0,IF($B52="Short",-1,1)*(H52-IF(K52="",I52,K52))))</f>
        <v/>
      </c>
      <c r="AH52" s="26" t="str">
        <f aca="false">IF(U52&lt;&gt;"Closed","",DATE(YEAR(P52),MONTH(P52),1))</f>
        <v/>
      </c>
      <c r="AI52" s="19" t="str">
        <f aca="false">IF(U52&lt;&gt;"Closed","",COUNTIFS($U$7:$U$506,"Closed",$P$7:$P$506,"&lt;"&amp;P52)+COUNTIFS($U$7:U52,"Closed",$P$7:P52,P52))</f>
        <v/>
      </c>
    </row>
    <row r="53" customFormat="false" ht="15" hidden="false" customHeight="false" outlineLevel="0" collapsed="false">
      <c r="A53" s="13"/>
      <c r="B53" s="14"/>
      <c r="C53" s="14"/>
      <c r="D53" s="14"/>
      <c r="E53" s="15"/>
      <c r="F53" s="15"/>
      <c r="G53" s="16"/>
      <c r="H53" s="17"/>
      <c r="I53" s="17"/>
      <c r="J53" s="17"/>
      <c r="K53" s="17"/>
      <c r="L53" s="16"/>
      <c r="M53" s="17"/>
      <c r="N53" s="16"/>
      <c r="O53" s="17"/>
      <c r="P53" s="15"/>
      <c r="Q53" s="17"/>
      <c r="R53" s="17"/>
      <c r="S53" s="17"/>
      <c r="T53" s="17"/>
      <c r="U53" s="18" t="str">
        <f aca="false">IF(A53="","",IF(N(G53)-N(L53)-N(N53)&lt;0,"Check shares",IF(AND(P53&lt;&gt;"",Q53&lt;&gt;""),"Closed","Open")))</f>
        <v/>
      </c>
      <c r="V53" s="19" t="str">
        <f aca="false">IF(OR(F53="",P53=""),"",NETWORKDAYS(F53,P53,Lists!$F$5:$F$40)-1)</f>
        <v/>
      </c>
      <c r="W53" s="18" t="str">
        <f aca="false">IF(V53="","",IF(V53=0,"Same day","Overnight"))</f>
        <v/>
      </c>
      <c r="X53" s="18" t="str">
        <f aca="false">IF(OR(E53="",F53=""),"",IF(AND(E53&gt;=F53,OR(P53="",E53&lt;=P53)),"Yes","No"))</f>
        <v/>
      </c>
      <c r="Y53" s="20" t="str">
        <f aca="false">IF(A53="","",N(G53)-N(L53)-N(N53))</f>
        <v/>
      </c>
      <c r="Z53" s="21" t="str">
        <f aca="false">IF(OR(G53="",H53="",I53=""),"",ABS(H53-I53)*G53)</f>
        <v/>
      </c>
      <c r="AA53" s="22" t="str">
        <f aca="false">IF(OR(J53="",N(Z53)=0),"",ABS(J53-H53)/ABS(H53-I53))</f>
        <v/>
      </c>
      <c r="AB53" s="23" t="str">
        <f aca="false">IF(U53&lt;&gt;"Closed","",(N(L53)*N(M53)+N(N53)*N(O53)+Y53*Q53)/G53)</f>
        <v/>
      </c>
      <c r="AC53" s="24" t="str">
        <f aca="false">IF(U53&lt;&gt;"Closed","",IF($B53="Short",-1,1)*((N(M53)-H53)*N(L53)+(N(O53)-H53)*N(N53)+(Q53-H53)*Y53)-N(R53))</f>
        <v/>
      </c>
      <c r="AD53" s="25" t="str">
        <f aca="false">IF(OR(AC53="",N(Z53)=0),"",AC53/Z53)</f>
        <v/>
      </c>
      <c r="AE53" s="25" t="str">
        <f aca="false">IF(OR(S53="",N(Z53)=0),"",IF($B53="Short",-1,1)*(S53-H53)*G53/Z53)</f>
        <v/>
      </c>
      <c r="AF53" s="25" t="str">
        <f aca="false">IF(OR(T53="",N(Z53)=0),"",IF($B53="Short",-1,1)*(T53-H53)*G53/Z53)</f>
        <v/>
      </c>
      <c r="AG53" s="21" t="str">
        <f aca="false">IF(U53&lt;&gt;"Open","",Y53*MAX(0,IF($B53="Short",-1,1)*(H53-IF(K53="",I53,K53))))</f>
        <v/>
      </c>
      <c r="AH53" s="26" t="str">
        <f aca="false">IF(U53&lt;&gt;"Closed","",DATE(YEAR(P53),MONTH(P53),1))</f>
        <v/>
      </c>
      <c r="AI53" s="19" t="str">
        <f aca="false">IF(U53&lt;&gt;"Closed","",COUNTIFS($U$7:$U$506,"Closed",$P$7:$P$506,"&lt;"&amp;P53)+COUNTIFS($U$7:U53,"Closed",$P$7:P53,P53))</f>
        <v/>
      </c>
    </row>
    <row r="54" customFormat="false" ht="15" hidden="false" customHeight="false" outlineLevel="0" collapsed="false">
      <c r="A54" s="13"/>
      <c r="B54" s="14"/>
      <c r="C54" s="14"/>
      <c r="D54" s="14"/>
      <c r="E54" s="15"/>
      <c r="F54" s="15"/>
      <c r="G54" s="16"/>
      <c r="H54" s="17"/>
      <c r="I54" s="17"/>
      <c r="J54" s="17"/>
      <c r="K54" s="17"/>
      <c r="L54" s="16"/>
      <c r="M54" s="17"/>
      <c r="N54" s="16"/>
      <c r="O54" s="17"/>
      <c r="P54" s="15"/>
      <c r="Q54" s="17"/>
      <c r="R54" s="17"/>
      <c r="S54" s="17"/>
      <c r="T54" s="17"/>
      <c r="U54" s="18" t="str">
        <f aca="false">IF(A54="","",IF(N(G54)-N(L54)-N(N54)&lt;0,"Check shares",IF(AND(P54&lt;&gt;"",Q54&lt;&gt;""),"Closed","Open")))</f>
        <v/>
      </c>
      <c r="V54" s="19" t="str">
        <f aca="false">IF(OR(F54="",P54=""),"",NETWORKDAYS(F54,P54,Lists!$F$5:$F$40)-1)</f>
        <v/>
      </c>
      <c r="W54" s="18" t="str">
        <f aca="false">IF(V54="","",IF(V54=0,"Same day","Overnight"))</f>
        <v/>
      </c>
      <c r="X54" s="18" t="str">
        <f aca="false">IF(OR(E54="",F54=""),"",IF(AND(E54&gt;=F54,OR(P54="",E54&lt;=P54)),"Yes","No"))</f>
        <v/>
      </c>
      <c r="Y54" s="20" t="str">
        <f aca="false">IF(A54="","",N(G54)-N(L54)-N(N54))</f>
        <v/>
      </c>
      <c r="Z54" s="21" t="str">
        <f aca="false">IF(OR(G54="",H54="",I54=""),"",ABS(H54-I54)*G54)</f>
        <v/>
      </c>
      <c r="AA54" s="22" t="str">
        <f aca="false">IF(OR(J54="",N(Z54)=0),"",ABS(J54-H54)/ABS(H54-I54))</f>
        <v/>
      </c>
      <c r="AB54" s="23" t="str">
        <f aca="false">IF(U54&lt;&gt;"Closed","",(N(L54)*N(M54)+N(N54)*N(O54)+Y54*Q54)/G54)</f>
        <v/>
      </c>
      <c r="AC54" s="24" t="str">
        <f aca="false">IF(U54&lt;&gt;"Closed","",IF($B54="Short",-1,1)*((N(M54)-H54)*N(L54)+(N(O54)-H54)*N(N54)+(Q54-H54)*Y54)-N(R54))</f>
        <v/>
      </c>
      <c r="AD54" s="25" t="str">
        <f aca="false">IF(OR(AC54="",N(Z54)=0),"",AC54/Z54)</f>
        <v/>
      </c>
      <c r="AE54" s="25" t="str">
        <f aca="false">IF(OR(S54="",N(Z54)=0),"",IF($B54="Short",-1,1)*(S54-H54)*G54/Z54)</f>
        <v/>
      </c>
      <c r="AF54" s="25" t="str">
        <f aca="false">IF(OR(T54="",N(Z54)=0),"",IF($B54="Short",-1,1)*(T54-H54)*G54/Z54)</f>
        <v/>
      </c>
      <c r="AG54" s="21" t="str">
        <f aca="false">IF(U54&lt;&gt;"Open","",Y54*MAX(0,IF($B54="Short",-1,1)*(H54-IF(K54="",I54,K54))))</f>
        <v/>
      </c>
      <c r="AH54" s="26" t="str">
        <f aca="false">IF(U54&lt;&gt;"Closed","",DATE(YEAR(P54),MONTH(P54),1))</f>
        <v/>
      </c>
      <c r="AI54" s="19" t="str">
        <f aca="false">IF(U54&lt;&gt;"Closed","",COUNTIFS($U$7:$U$506,"Closed",$P$7:$P$506,"&lt;"&amp;P54)+COUNTIFS($U$7:U54,"Closed",$P$7:P54,P54))</f>
        <v/>
      </c>
    </row>
    <row r="55" customFormat="false" ht="15" hidden="false" customHeight="false" outlineLevel="0" collapsed="false">
      <c r="A55" s="13"/>
      <c r="B55" s="14"/>
      <c r="C55" s="14"/>
      <c r="D55" s="14"/>
      <c r="E55" s="15"/>
      <c r="F55" s="15"/>
      <c r="G55" s="16"/>
      <c r="H55" s="17"/>
      <c r="I55" s="17"/>
      <c r="J55" s="17"/>
      <c r="K55" s="17"/>
      <c r="L55" s="16"/>
      <c r="M55" s="17"/>
      <c r="N55" s="16"/>
      <c r="O55" s="17"/>
      <c r="P55" s="15"/>
      <c r="Q55" s="17"/>
      <c r="R55" s="17"/>
      <c r="S55" s="17"/>
      <c r="T55" s="17"/>
      <c r="U55" s="18" t="str">
        <f aca="false">IF(A55="","",IF(N(G55)-N(L55)-N(N55)&lt;0,"Check shares",IF(AND(P55&lt;&gt;"",Q55&lt;&gt;""),"Closed","Open")))</f>
        <v/>
      </c>
      <c r="V55" s="19" t="str">
        <f aca="false">IF(OR(F55="",P55=""),"",NETWORKDAYS(F55,P55,Lists!$F$5:$F$40)-1)</f>
        <v/>
      </c>
      <c r="W55" s="18" t="str">
        <f aca="false">IF(V55="","",IF(V55=0,"Same day","Overnight"))</f>
        <v/>
      </c>
      <c r="X55" s="18" t="str">
        <f aca="false">IF(OR(E55="",F55=""),"",IF(AND(E55&gt;=F55,OR(P55="",E55&lt;=P55)),"Yes","No"))</f>
        <v/>
      </c>
      <c r="Y55" s="20" t="str">
        <f aca="false">IF(A55="","",N(G55)-N(L55)-N(N55))</f>
        <v/>
      </c>
      <c r="Z55" s="21" t="str">
        <f aca="false">IF(OR(G55="",H55="",I55=""),"",ABS(H55-I55)*G55)</f>
        <v/>
      </c>
      <c r="AA55" s="22" t="str">
        <f aca="false">IF(OR(J55="",N(Z55)=0),"",ABS(J55-H55)/ABS(H55-I55))</f>
        <v/>
      </c>
      <c r="AB55" s="23" t="str">
        <f aca="false">IF(U55&lt;&gt;"Closed","",(N(L55)*N(M55)+N(N55)*N(O55)+Y55*Q55)/G55)</f>
        <v/>
      </c>
      <c r="AC55" s="24" t="str">
        <f aca="false">IF(U55&lt;&gt;"Closed","",IF($B55="Short",-1,1)*((N(M55)-H55)*N(L55)+(N(O55)-H55)*N(N55)+(Q55-H55)*Y55)-N(R55))</f>
        <v/>
      </c>
      <c r="AD55" s="25" t="str">
        <f aca="false">IF(OR(AC55="",N(Z55)=0),"",AC55/Z55)</f>
        <v/>
      </c>
      <c r="AE55" s="25" t="str">
        <f aca="false">IF(OR(S55="",N(Z55)=0),"",IF($B55="Short",-1,1)*(S55-H55)*G55/Z55)</f>
        <v/>
      </c>
      <c r="AF55" s="25" t="str">
        <f aca="false">IF(OR(T55="",N(Z55)=0),"",IF($B55="Short",-1,1)*(T55-H55)*G55/Z55)</f>
        <v/>
      </c>
      <c r="AG55" s="21" t="str">
        <f aca="false">IF(U55&lt;&gt;"Open","",Y55*MAX(0,IF($B55="Short",-1,1)*(H55-IF(K55="",I55,K55))))</f>
        <v/>
      </c>
      <c r="AH55" s="26" t="str">
        <f aca="false">IF(U55&lt;&gt;"Closed","",DATE(YEAR(P55),MONTH(P55),1))</f>
        <v/>
      </c>
      <c r="AI55" s="19" t="str">
        <f aca="false">IF(U55&lt;&gt;"Closed","",COUNTIFS($U$7:$U$506,"Closed",$P$7:$P$506,"&lt;"&amp;P55)+COUNTIFS($U$7:U55,"Closed",$P$7:P55,P55))</f>
        <v/>
      </c>
    </row>
    <row r="56" customFormat="false" ht="15" hidden="false" customHeight="false" outlineLevel="0" collapsed="false">
      <c r="A56" s="13"/>
      <c r="B56" s="14"/>
      <c r="C56" s="14"/>
      <c r="D56" s="14"/>
      <c r="E56" s="15"/>
      <c r="F56" s="15"/>
      <c r="G56" s="16"/>
      <c r="H56" s="17"/>
      <c r="I56" s="17"/>
      <c r="J56" s="17"/>
      <c r="K56" s="17"/>
      <c r="L56" s="16"/>
      <c r="M56" s="17"/>
      <c r="N56" s="16"/>
      <c r="O56" s="17"/>
      <c r="P56" s="15"/>
      <c r="Q56" s="17"/>
      <c r="R56" s="17"/>
      <c r="S56" s="17"/>
      <c r="T56" s="17"/>
      <c r="U56" s="18" t="str">
        <f aca="false">IF(A56="","",IF(N(G56)-N(L56)-N(N56)&lt;0,"Check shares",IF(AND(P56&lt;&gt;"",Q56&lt;&gt;""),"Closed","Open")))</f>
        <v/>
      </c>
      <c r="V56" s="19" t="str">
        <f aca="false">IF(OR(F56="",P56=""),"",NETWORKDAYS(F56,P56,Lists!$F$5:$F$40)-1)</f>
        <v/>
      </c>
      <c r="W56" s="18" t="str">
        <f aca="false">IF(V56="","",IF(V56=0,"Same day","Overnight"))</f>
        <v/>
      </c>
      <c r="X56" s="18" t="str">
        <f aca="false">IF(OR(E56="",F56=""),"",IF(AND(E56&gt;=F56,OR(P56="",E56&lt;=P56)),"Yes","No"))</f>
        <v/>
      </c>
      <c r="Y56" s="20" t="str">
        <f aca="false">IF(A56="","",N(G56)-N(L56)-N(N56))</f>
        <v/>
      </c>
      <c r="Z56" s="21" t="str">
        <f aca="false">IF(OR(G56="",H56="",I56=""),"",ABS(H56-I56)*G56)</f>
        <v/>
      </c>
      <c r="AA56" s="22" t="str">
        <f aca="false">IF(OR(J56="",N(Z56)=0),"",ABS(J56-H56)/ABS(H56-I56))</f>
        <v/>
      </c>
      <c r="AB56" s="23" t="str">
        <f aca="false">IF(U56&lt;&gt;"Closed","",(N(L56)*N(M56)+N(N56)*N(O56)+Y56*Q56)/G56)</f>
        <v/>
      </c>
      <c r="AC56" s="24" t="str">
        <f aca="false">IF(U56&lt;&gt;"Closed","",IF($B56="Short",-1,1)*((N(M56)-H56)*N(L56)+(N(O56)-H56)*N(N56)+(Q56-H56)*Y56)-N(R56))</f>
        <v/>
      </c>
      <c r="AD56" s="25" t="str">
        <f aca="false">IF(OR(AC56="",N(Z56)=0),"",AC56/Z56)</f>
        <v/>
      </c>
      <c r="AE56" s="25" t="str">
        <f aca="false">IF(OR(S56="",N(Z56)=0),"",IF($B56="Short",-1,1)*(S56-H56)*G56/Z56)</f>
        <v/>
      </c>
      <c r="AF56" s="25" t="str">
        <f aca="false">IF(OR(T56="",N(Z56)=0),"",IF($B56="Short",-1,1)*(T56-H56)*G56/Z56)</f>
        <v/>
      </c>
      <c r="AG56" s="21" t="str">
        <f aca="false">IF(U56&lt;&gt;"Open","",Y56*MAX(0,IF($B56="Short",-1,1)*(H56-IF(K56="",I56,K56))))</f>
        <v/>
      </c>
      <c r="AH56" s="26" t="str">
        <f aca="false">IF(U56&lt;&gt;"Closed","",DATE(YEAR(P56),MONTH(P56),1))</f>
        <v/>
      </c>
      <c r="AI56" s="19" t="str">
        <f aca="false">IF(U56&lt;&gt;"Closed","",COUNTIFS($U$7:$U$506,"Closed",$P$7:$P$506,"&lt;"&amp;P56)+COUNTIFS($U$7:U56,"Closed",$P$7:P56,P56))</f>
        <v/>
      </c>
    </row>
    <row r="57" customFormat="false" ht="15" hidden="false" customHeight="false" outlineLevel="0" collapsed="false">
      <c r="A57" s="13"/>
      <c r="B57" s="14"/>
      <c r="C57" s="14"/>
      <c r="D57" s="14"/>
      <c r="E57" s="15"/>
      <c r="F57" s="15"/>
      <c r="G57" s="16"/>
      <c r="H57" s="17"/>
      <c r="I57" s="17"/>
      <c r="J57" s="17"/>
      <c r="K57" s="17"/>
      <c r="L57" s="16"/>
      <c r="M57" s="17"/>
      <c r="N57" s="16"/>
      <c r="O57" s="17"/>
      <c r="P57" s="15"/>
      <c r="Q57" s="17"/>
      <c r="R57" s="17"/>
      <c r="S57" s="17"/>
      <c r="T57" s="17"/>
      <c r="U57" s="18" t="str">
        <f aca="false">IF(A57="","",IF(N(G57)-N(L57)-N(N57)&lt;0,"Check shares",IF(AND(P57&lt;&gt;"",Q57&lt;&gt;""),"Closed","Open")))</f>
        <v/>
      </c>
      <c r="V57" s="19" t="str">
        <f aca="false">IF(OR(F57="",P57=""),"",NETWORKDAYS(F57,P57,Lists!$F$5:$F$40)-1)</f>
        <v/>
      </c>
      <c r="W57" s="18" t="str">
        <f aca="false">IF(V57="","",IF(V57=0,"Same day","Overnight"))</f>
        <v/>
      </c>
      <c r="X57" s="18" t="str">
        <f aca="false">IF(OR(E57="",F57=""),"",IF(AND(E57&gt;=F57,OR(P57="",E57&lt;=P57)),"Yes","No"))</f>
        <v/>
      </c>
      <c r="Y57" s="20" t="str">
        <f aca="false">IF(A57="","",N(G57)-N(L57)-N(N57))</f>
        <v/>
      </c>
      <c r="Z57" s="21" t="str">
        <f aca="false">IF(OR(G57="",H57="",I57=""),"",ABS(H57-I57)*G57)</f>
        <v/>
      </c>
      <c r="AA57" s="22" t="str">
        <f aca="false">IF(OR(J57="",N(Z57)=0),"",ABS(J57-H57)/ABS(H57-I57))</f>
        <v/>
      </c>
      <c r="AB57" s="23" t="str">
        <f aca="false">IF(U57&lt;&gt;"Closed","",(N(L57)*N(M57)+N(N57)*N(O57)+Y57*Q57)/G57)</f>
        <v/>
      </c>
      <c r="AC57" s="24" t="str">
        <f aca="false">IF(U57&lt;&gt;"Closed","",IF($B57="Short",-1,1)*((N(M57)-H57)*N(L57)+(N(O57)-H57)*N(N57)+(Q57-H57)*Y57)-N(R57))</f>
        <v/>
      </c>
      <c r="AD57" s="25" t="str">
        <f aca="false">IF(OR(AC57="",N(Z57)=0),"",AC57/Z57)</f>
        <v/>
      </c>
      <c r="AE57" s="25" t="str">
        <f aca="false">IF(OR(S57="",N(Z57)=0),"",IF($B57="Short",-1,1)*(S57-H57)*G57/Z57)</f>
        <v/>
      </c>
      <c r="AF57" s="25" t="str">
        <f aca="false">IF(OR(T57="",N(Z57)=0),"",IF($B57="Short",-1,1)*(T57-H57)*G57/Z57)</f>
        <v/>
      </c>
      <c r="AG57" s="21" t="str">
        <f aca="false">IF(U57&lt;&gt;"Open","",Y57*MAX(0,IF($B57="Short",-1,1)*(H57-IF(K57="",I57,K57))))</f>
        <v/>
      </c>
      <c r="AH57" s="26" t="str">
        <f aca="false">IF(U57&lt;&gt;"Closed","",DATE(YEAR(P57),MONTH(P57),1))</f>
        <v/>
      </c>
      <c r="AI57" s="19" t="str">
        <f aca="false">IF(U57&lt;&gt;"Closed","",COUNTIFS($U$7:$U$506,"Closed",$P$7:$P$506,"&lt;"&amp;P57)+COUNTIFS($U$7:U57,"Closed",$P$7:P57,P57))</f>
        <v/>
      </c>
    </row>
    <row r="58" customFormat="false" ht="15" hidden="false" customHeight="false" outlineLevel="0" collapsed="false">
      <c r="A58" s="13"/>
      <c r="B58" s="14"/>
      <c r="C58" s="14"/>
      <c r="D58" s="14"/>
      <c r="E58" s="15"/>
      <c r="F58" s="15"/>
      <c r="G58" s="16"/>
      <c r="H58" s="17"/>
      <c r="I58" s="17"/>
      <c r="J58" s="17"/>
      <c r="K58" s="17"/>
      <c r="L58" s="16"/>
      <c r="M58" s="17"/>
      <c r="N58" s="16"/>
      <c r="O58" s="17"/>
      <c r="P58" s="15"/>
      <c r="Q58" s="17"/>
      <c r="R58" s="17"/>
      <c r="S58" s="17"/>
      <c r="T58" s="17"/>
      <c r="U58" s="18" t="str">
        <f aca="false">IF(A58="","",IF(N(G58)-N(L58)-N(N58)&lt;0,"Check shares",IF(AND(P58&lt;&gt;"",Q58&lt;&gt;""),"Closed","Open")))</f>
        <v/>
      </c>
      <c r="V58" s="19" t="str">
        <f aca="false">IF(OR(F58="",P58=""),"",NETWORKDAYS(F58,P58,Lists!$F$5:$F$40)-1)</f>
        <v/>
      </c>
      <c r="W58" s="18" t="str">
        <f aca="false">IF(V58="","",IF(V58=0,"Same day","Overnight"))</f>
        <v/>
      </c>
      <c r="X58" s="18" t="str">
        <f aca="false">IF(OR(E58="",F58=""),"",IF(AND(E58&gt;=F58,OR(P58="",E58&lt;=P58)),"Yes","No"))</f>
        <v/>
      </c>
      <c r="Y58" s="20" t="str">
        <f aca="false">IF(A58="","",N(G58)-N(L58)-N(N58))</f>
        <v/>
      </c>
      <c r="Z58" s="21" t="str">
        <f aca="false">IF(OR(G58="",H58="",I58=""),"",ABS(H58-I58)*G58)</f>
        <v/>
      </c>
      <c r="AA58" s="22" t="str">
        <f aca="false">IF(OR(J58="",N(Z58)=0),"",ABS(J58-H58)/ABS(H58-I58))</f>
        <v/>
      </c>
      <c r="AB58" s="23" t="str">
        <f aca="false">IF(U58&lt;&gt;"Closed","",(N(L58)*N(M58)+N(N58)*N(O58)+Y58*Q58)/G58)</f>
        <v/>
      </c>
      <c r="AC58" s="24" t="str">
        <f aca="false">IF(U58&lt;&gt;"Closed","",IF($B58="Short",-1,1)*((N(M58)-H58)*N(L58)+(N(O58)-H58)*N(N58)+(Q58-H58)*Y58)-N(R58))</f>
        <v/>
      </c>
      <c r="AD58" s="25" t="str">
        <f aca="false">IF(OR(AC58="",N(Z58)=0),"",AC58/Z58)</f>
        <v/>
      </c>
      <c r="AE58" s="25" t="str">
        <f aca="false">IF(OR(S58="",N(Z58)=0),"",IF($B58="Short",-1,1)*(S58-H58)*G58/Z58)</f>
        <v/>
      </c>
      <c r="AF58" s="25" t="str">
        <f aca="false">IF(OR(T58="",N(Z58)=0),"",IF($B58="Short",-1,1)*(T58-H58)*G58/Z58)</f>
        <v/>
      </c>
      <c r="AG58" s="21" t="str">
        <f aca="false">IF(U58&lt;&gt;"Open","",Y58*MAX(0,IF($B58="Short",-1,1)*(H58-IF(K58="",I58,K58))))</f>
        <v/>
      </c>
      <c r="AH58" s="26" t="str">
        <f aca="false">IF(U58&lt;&gt;"Closed","",DATE(YEAR(P58),MONTH(P58),1))</f>
        <v/>
      </c>
      <c r="AI58" s="19" t="str">
        <f aca="false">IF(U58&lt;&gt;"Closed","",COUNTIFS($U$7:$U$506,"Closed",$P$7:$P$506,"&lt;"&amp;P58)+COUNTIFS($U$7:U58,"Closed",$P$7:P58,P58))</f>
        <v/>
      </c>
    </row>
    <row r="59" customFormat="false" ht="15" hidden="false" customHeight="false" outlineLevel="0" collapsed="false">
      <c r="A59" s="13"/>
      <c r="B59" s="14"/>
      <c r="C59" s="14"/>
      <c r="D59" s="14"/>
      <c r="E59" s="15"/>
      <c r="F59" s="15"/>
      <c r="G59" s="16"/>
      <c r="H59" s="17"/>
      <c r="I59" s="17"/>
      <c r="J59" s="17"/>
      <c r="K59" s="17"/>
      <c r="L59" s="16"/>
      <c r="M59" s="17"/>
      <c r="N59" s="16"/>
      <c r="O59" s="17"/>
      <c r="P59" s="15"/>
      <c r="Q59" s="17"/>
      <c r="R59" s="17"/>
      <c r="S59" s="17"/>
      <c r="T59" s="17"/>
      <c r="U59" s="18" t="str">
        <f aca="false">IF(A59="","",IF(N(G59)-N(L59)-N(N59)&lt;0,"Check shares",IF(AND(P59&lt;&gt;"",Q59&lt;&gt;""),"Closed","Open")))</f>
        <v/>
      </c>
      <c r="V59" s="19" t="str">
        <f aca="false">IF(OR(F59="",P59=""),"",NETWORKDAYS(F59,P59,Lists!$F$5:$F$40)-1)</f>
        <v/>
      </c>
      <c r="W59" s="18" t="str">
        <f aca="false">IF(V59="","",IF(V59=0,"Same day","Overnight"))</f>
        <v/>
      </c>
      <c r="X59" s="18" t="str">
        <f aca="false">IF(OR(E59="",F59=""),"",IF(AND(E59&gt;=F59,OR(P59="",E59&lt;=P59)),"Yes","No"))</f>
        <v/>
      </c>
      <c r="Y59" s="20" t="str">
        <f aca="false">IF(A59="","",N(G59)-N(L59)-N(N59))</f>
        <v/>
      </c>
      <c r="Z59" s="21" t="str">
        <f aca="false">IF(OR(G59="",H59="",I59=""),"",ABS(H59-I59)*G59)</f>
        <v/>
      </c>
      <c r="AA59" s="22" t="str">
        <f aca="false">IF(OR(J59="",N(Z59)=0),"",ABS(J59-H59)/ABS(H59-I59))</f>
        <v/>
      </c>
      <c r="AB59" s="23" t="str">
        <f aca="false">IF(U59&lt;&gt;"Closed","",(N(L59)*N(M59)+N(N59)*N(O59)+Y59*Q59)/G59)</f>
        <v/>
      </c>
      <c r="AC59" s="24" t="str">
        <f aca="false">IF(U59&lt;&gt;"Closed","",IF($B59="Short",-1,1)*((N(M59)-H59)*N(L59)+(N(O59)-H59)*N(N59)+(Q59-H59)*Y59)-N(R59))</f>
        <v/>
      </c>
      <c r="AD59" s="25" t="str">
        <f aca="false">IF(OR(AC59="",N(Z59)=0),"",AC59/Z59)</f>
        <v/>
      </c>
      <c r="AE59" s="25" t="str">
        <f aca="false">IF(OR(S59="",N(Z59)=0),"",IF($B59="Short",-1,1)*(S59-H59)*G59/Z59)</f>
        <v/>
      </c>
      <c r="AF59" s="25" t="str">
        <f aca="false">IF(OR(T59="",N(Z59)=0),"",IF($B59="Short",-1,1)*(T59-H59)*G59/Z59)</f>
        <v/>
      </c>
      <c r="AG59" s="21" t="str">
        <f aca="false">IF(U59&lt;&gt;"Open","",Y59*MAX(0,IF($B59="Short",-1,1)*(H59-IF(K59="",I59,K59))))</f>
        <v/>
      </c>
      <c r="AH59" s="26" t="str">
        <f aca="false">IF(U59&lt;&gt;"Closed","",DATE(YEAR(P59),MONTH(P59),1))</f>
        <v/>
      </c>
      <c r="AI59" s="19" t="str">
        <f aca="false">IF(U59&lt;&gt;"Closed","",COUNTIFS($U$7:$U$506,"Closed",$P$7:$P$506,"&lt;"&amp;P59)+COUNTIFS($U$7:U59,"Closed",$P$7:P59,P59))</f>
        <v/>
      </c>
    </row>
    <row r="60" customFormat="false" ht="15" hidden="false" customHeight="false" outlineLevel="0" collapsed="false">
      <c r="A60" s="13"/>
      <c r="B60" s="14"/>
      <c r="C60" s="14"/>
      <c r="D60" s="14"/>
      <c r="E60" s="15"/>
      <c r="F60" s="15"/>
      <c r="G60" s="16"/>
      <c r="H60" s="17"/>
      <c r="I60" s="17"/>
      <c r="J60" s="17"/>
      <c r="K60" s="17"/>
      <c r="L60" s="16"/>
      <c r="M60" s="17"/>
      <c r="N60" s="16"/>
      <c r="O60" s="17"/>
      <c r="P60" s="15"/>
      <c r="Q60" s="17"/>
      <c r="R60" s="17"/>
      <c r="S60" s="17"/>
      <c r="T60" s="17"/>
      <c r="U60" s="18" t="str">
        <f aca="false">IF(A60="","",IF(N(G60)-N(L60)-N(N60)&lt;0,"Check shares",IF(AND(P60&lt;&gt;"",Q60&lt;&gt;""),"Closed","Open")))</f>
        <v/>
      </c>
      <c r="V60" s="19" t="str">
        <f aca="false">IF(OR(F60="",P60=""),"",NETWORKDAYS(F60,P60,Lists!$F$5:$F$40)-1)</f>
        <v/>
      </c>
      <c r="W60" s="18" t="str">
        <f aca="false">IF(V60="","",IF(V60=0,"Same day","Overnight"))</f>
        <v/>
      </c>
      <c r="X60" s="18" t="str">
        <f aca="false">IF(OR(E60="",F60=""),"",IF(AND(E60&gt;=F60,OR(P60="",E60&lt;=P60)),"Yes","No"))</f>
        <v/>
      </c>
      <c r="Y60" s="20" t="str">
        <f aca="false">IF(A60="","",N(G60)-N(L60)-N(N60))</f>
        <v/>
      </c>
      <c r="Z60" s="21" t="str">
        <f aca="false">IF(OR(G60="",H60="",I60=""),"",ABS(H60-I60)*G60)</f>
        <v/>
      </c>
      <c r="AA60" s="22" t="str">
        <f aca="false">IF(OR(J60="",N(Z60)=0),"",ABS(J60-H60)/ABS(H60-I60))</f>
        <v/>
      </c>
      <c r="AB60" s="23" t="str">
        <f aca="false">IF(U60&lt;&gt;"Closed","",(N(L60)*N(M60)+N(N60)*N(O60)+Y60*Q60)/G60)</f>
        <v/>
      </c>
      <c r="AC60" s="24" t="str">
        <f aca="false">IF(U60&lt;&gt;"Closed","",IF($B60="Short",-1,1)*((N(M60)-H60)*N(L60)+(N(O60)-H60)*N(N60)+(Q60-H60)*Y60)-N(R60))</f>
        <v/>
      </c>
      <c r="AD60" s="25" t="str">
        <f aca="false">IF(OR(AC60="",N(Z60)=0),"",AC60/Z60)</f>
        <v/>
      </c>
      <c r="AE60" s="25" t="str">
        <f aca="false">IF(OR(S60="",N(Z60)=0),"",IF($B60="Short",-1,1)*(S60-H60)*G60/Z60)</f>
        <v/>
      </c>
      <c r="AF60" s="25" t="str">
        <f aca="false">IF(OR(T60="",N(Z60)=0),"",IF($B60="Short",-1,1)*(T60-H60)*G60/Z60)</f>
        <v/>
      </c>
      <c r="AG60" s="21" t="str">
        <f aca="false">IF(U60&lt;&gt;"Open","",Y60*MAX(0,IF($B60="Short",-1,1)*(H60-IF(K60="",I60,K60))))</f>
        <v/>
      </c>
      <c r="AH60" s="26" t="str">
        <f aca="false">IF(U60&lt;&gt;"Closed","",DATE(YEAR(P60),MONTH(P60),1))</f>
        <v/>
      </c>
      <c r="AI60" s="19" t="str">
        <f aca="false">IF(U60&lt;&gt;"Closed","",COUNTIFS($U$7:$U$506,"Closed",$P$7:$P$506,"&lt;"&amp;P60)+COUNTIFS($U$7:U60,"Closed",$P$7:P60,P60))</f>
        <v/>
      </c>
    </row>
    <row r="61" customFormat="false" ht="15" hidden="false" customHeight="false" outlineLevel="0" collapsed="false">
      <c r="A61" s="13"/>
      <c r="B61" s="14"/>
      <c r="C61" s="14"/>
      <c r="D61" s="14"/>
      <c r="E61" s="15"/>
      <c r="F61" s="15"/>
      <c r="G61" s="16"/>
      <c r="H61" s="17"/>
      <c r="I61" s="17"/>
      <c r="J61" s="17"/>
      <c r="K61" s="17"/>
      <c r="L61" s="16"/>
      <c r="M61" s="17"/>
      <c r="N61" s="16"/>
      <c r="O61" s="17"/>
      <c r="P61" s="15"/>
      <c r="Q61" s="17"/>
      <c r="R61" s="17"/>
      <c r="S61" s="17"/>
      <c r="T61" s="17"/>
      <c r="U61" s="18" t="str">
        <f aca="false">IF(A61="","",IF(N(G61)-N(L61)-N(N61)&lt;0,"Check shares",IF(AND(P61&lt;&gt;"",Q61&lt;&gt;""),"Closed","Open")))</f>
        <v/>
      </c>
      <c r="V61" s="19" t="str">
        <f aca="false">IF(OR(F61="",P61=""),"",NETWORKDAYS(F61,P61,Lists!$F$5:$F$40)-1)</f>
        <v/>
      </c>
      <c r="W61" s="18" t="str">
        <f aca="false">IF(V61="","",IF(V61=0,"Same day","Overnight"))</f>
        <v/>
      </c>
      <c r="X61" s="18" t="str">
        <f aca="false">IF(OR(E61="",F61=""),"",IF(AND(E61&gt;=F61,OR(P61="",E61&lt;=P61)),"Yes","No"))</f>
        <v/>
      </c>
      <c r="Y61" s="20" t="str">
        <f aca="false">IF(A61="","",N(G61)-N(L61)-N(N61))</f>
        <v/>
      </c>
      <c r="Z61" s="21" t="str">
        <f aca="false">IF(OR(G61="",H61="",I61=""),"",ABS(H61-I61)*G61)</f>
        <v/>
      </c>
      <c r="AA61" s="22" t="str">
        <f aca="false">IF(OR(J61="",N(Z61)=0),"",ABS(J61-H61)/ABS(H61-I61))</f>
        <v/>
      </c>
      <c r="AB61" s="23" t="str">
        <f aca="false">IF(U61&lt;&gt;"Closed","",(N(L61)*N(M61)+N(N61)*N(O61)+Y61*Q61)/G61)</f>
        <v/>
      </c>
      <c r="AC61" s="24" t="str">
        <f aca="false">IF(U61&lt;&gt;"Closed","",IF($B61="Short",-1,1)*((N(M61)-H61)*N(L61)+(N(O61)-H61)*N(N61)+(Q61-H61)*Y61)-N(R61))</f>
        <v/>
      </c>
      <c r="AD61" s="25" t="str">
        <f aca="false">IF(OR(AC61="",N(Z61)=0),"",AC61/Z61)</f>
        <v/>
      </c>
      <c r="AE61" s="25" t="str">
        <f aca="false">IF(OR(S61="",N(Z61)=0),"",IF($B61="Short",-1,1)*(S61-H61)*G61/Z61)</f>
        <v/>
      </c>
      <c r="AF61" s="25" t="str">
        <f aca="false">IF(OR(T61="",N(Z61)=0),"",IF($B61="Short",-1,1)*(T61-H61)*G61/Z61)</f>
        <v/>
      </c>
      <c r="AG61" s="21" t="str">
        <f aca="false">IF(U61&lt;&gt;"Open","",Y61*MAX(0,IF($B61="Short",-1,1)*(H61-IF(K61="",I61,K61))))</f>
        <v/>
      </c>
      <c r="AH61" s="26" t="str">
        <f aca="false">IF(U61&lt;&gt;"Closed","",DATE(YEAR(P61),MONTH(P61),1))</f>
        <v/>
      </c>
      <c r="AI61" s="19" t="str">
        <f aca="false">IF(U61&lt;&gt;"Closed","",COUNTIFS($U$7:$U$506,"Closed",$P$7:$P$506,"&lt;"&amp;P61)+COUNTIFS($U$7:U61,"Closed",$P$7:P61,P61))</f>
        <v/>
      </c>
    </row>
    <row r="62" customFormat="false" ht="15" hidden="false" customHeight="false" outlineLevel="0" collapsed="false">
      <c r="A62" s="13"/>
      <c r="B62" s="14"/>
      <c r="C62" s="14"/>
      <c r="D62" s="14"/>
      <c r="E62" s="15"/>
      <c r="F62" s="15"/>
      <c r="G62" s="16"/>
      <c r="H62" s="17"/>
      <c r="I62" s="17"/>
      <c r="J62" s="17"/>
      <c r="K62" s="17"/>
      <c r="L62" s="16"/>
      <c r="M62" s="17"/>
      <c r="N62" s="16"/>
      <c r="O62" s="17"/>
      <c r="P62" s="15"/>
      <c r="Q62" s="17"/>
      <c r="R62" s="17"/>
      <c r="S62" s="17"/>
      <c r="T62" s="17"/>
      <c r="U62" s="18" t="str">
        <f aca="false">IF(A62="","",IF(N(G62)-N(L62)-N(N62)&lt;0,"Check shares",IF(AND(P62&lt;&gt;"",Q62&lt;&gt;""),"Closed","Open")))</f>
        <v/>
      </c>
      <c r="V62" s="19" t="str">
        <f aca="false">IF(OR(F62="",P62=""),"",NETWORKDAYS(F62,P62,Lists!$F$5:$F$40)-1)</f>
        <v/>
      </c>
      <c r="W62" s="18" t="str">
        <f aca="false">IF(V62="","",IF(V62=0,"Same day","Overnight"))</f>
        <v/>
      </c>
      <c r="X62" s="18" t="str">
        <f aca="false">IF(OR(E62="",F62=""),"",IF(AND(E62&gt;=F62,OR(P62="",E62&lt;=P62)),"Yes","No"))</f>
        <v/>
      </c>
      <c r="Y62" s="20" t="str">
        <f aca="false">IF(A62="","",N(G62)-N(L62)-N(N62))</f>
        <v/>
      </c>
      <c r="Z62" s="21" t="str">
        <f aca="false">IF(OR(G62="",H62="",I62=""),"",ABS(H62-I62)*G62)</f>
        <v/>
      </c>
      <c r="AA62" s="22" t="str">
        <f aca="false">IF(OR(J62="",N(Z62)=0),"",ABS(J62-H62)/ABS(H62-I62))</f>
        <v/>
      </c>
      <c r="AB62" s="23" t="str">
        <f aca="false">IF(U62&lt;&gt;"Closed","",(N(L62)*N(M62)+N(N62)*N(O62)+Y62*Q62)/G62)</f>
        <v/>
      </c>
      <c r="AC62" s="24" t="str">
        <f aca="false">IF(U62&lt;&gt;"Closed","",IF($B62="Short",-1,1)*((N(M62)-H62)*N(L62)+(N(O62)-H62)*N(N62)+(Q62-H62)*Y62)-N(R62))</f>
        <v/>
      </c>
      <c r="AD62" s="25" t="str">
        <f aca="false">IF(OR(AC62="",N(Z62)=0),"",AC62/Z62)</f>
        <v/>
      </c>
      <c r="AE62" s="25" t="str">
        <f aca="false">IF(OR(S62="",N(Z62)=0),"",IF($B62="Short",-1,1)*(S62-H62)*G62/Z62)</f>
        <v/>
      </c>
      <c r="AF62" s="25" t="str">
        <f aca="false">IF(OR(T62="",N(Z62)=0),"",IF($B62="Short",-1,1)*(T62-H62)*G62/Z62)</f>
        <v/>
      </c>
      <c r="AG62" s="21" t="str">
        <f aca="false">IF(U62&lt;&gt;"Open","",Y62*MAX(0,IF($B62="Short",-1,1)*(H62-IF(K62="",I62,K62))))</f>
        <v/>
      </c>
      <c r="AH62" s="26" t="str">
        <f aca="false">IF(U62&lt;&gt;"Closed","",DATE(YEAR(P62),MONTH(P62),1))</f>
        <v/>
      </c>
      <c r="AI62" s="19" t="str">
        <f aca="false">IF(U62&lt;&gt;"Closed","",COUNTIFS($U$7:$U$506,"Closed",$P$7:$P$506,"&lt;"&amp;P62)+COUNTIFS($U$7:U62,"Closed",$P$7:P62,P62))</f>
        <v/>
      </c>
    </row>
    <row r="63" customFormat="false" ht="15" hidden="false" customHeight="false" outlineLevel="0" collapsed="false">
      <c r="A63" s="13"/>
      <c r="B63" s="14"/>
      <c r="C63" s="14"/>
      <c r="D63" s="14"/>
      <c r="E63" s="15"/>
      <c r="F63" s="15"/>
      <c r="G63" s="16"/>
      <c r="H63" s="17"/>
      <c r="I63" s="17"/>
      <c r="J63" s="17"/>
      <c r="K63" s="17"/>
      <c r="L63" s="16"/>
      <c r="M63" s="17"/>
      <c r="N63" s="16"/>
      <c r="O63" s="17"/>
      <c r="P63" s="15"/>
      <c r="Q63" s="17"/>
      <c r="R63" s="17"/>
      <c r="S63" s="17"/>
      <c r="T63" s="17"/>
      <c r="U63" s="18" t="str">
        <f aca="false">IF(A63="","",IF(N(G63)-N(L63)-N(N63)&lt;0,"Check shares",IF(AND(P63&lt;&gt;"",Q63&lt;&gt;""),"Closed","Open")))</f>
        <v/>
      </c>
      <c r="V63" s="19" t="str">
        <f aca="false">IF(OR(F63="",P63=""),"",NETWORKDAYS(F63,P63,Lists!$F$5:$F$40)-1)</f>
        <v/>
      </c>
      <c r="W63" s="18" t="str">
        <f aca="false">IF(V63="","",IF(V63=0,"Same day","Overnight"))</f>
        <v/>
      </c>
      <c r="X63" s="18" t="str">
        <f aca="false">IF(OR(E63="",F63=""),"",IF(AND(E63&gt;=F63,OR(P63="",E63&lt;=P63)),"Yes","No"))</f>
        <v/>
      </c>
      <c r="Y63" s="20" t="str">
        <f aca="false">IF(A63="","",N(G63)-N(L63)-N(N63))</f>
        <v/>
      </c>
      <c r="Z63" s="21" t="str">
        <f aca="false">IF(OR(G63="",H63="",I63=""),"",ABS(H63-I63)*G63)</f>
        <v/>
      </c>
      <c r="AA63" s="22" t="str">
        <f aca="false">IF(OR(J63="",N(Z63)=0),"",ABS(J63-H63)/ABS(H63-I63))</f>
        <v/>
      </c>
      <c r="AB63" s="23" t="str">
        <f aca="false">IF(U63&lt;&gt;"Closed","",(N(L63)*N(M63)+N(N63)*N(O63)+Y63*Q63)/G63)</f>
        <v/>
      </c>
      <c r="AC63" s="24" t="str">
        <f aca="false">IF(U63&lt;&gt;"Closed","",IF($B63="Short",-1,1)*((N(M63)-H63)*N(L63)+(N(O63)-H63)*N(N63)+(Q63-H63)*Y63)-N(R63))</f>
        <v/>
      </c>
      <c r="AD63" s="25" t="str">
        <f aca="false">IF(OR(AC63="",N(Z63)=0),"",AC63/Z63)</f>
        <v/>
      </c>
      <c r="AE63" s="25" t="str">
        <f aca="false">IF(OR(S63="",N(Z63)=0),"",IF($B63="Short",-1,1)*(S63-H63)*G63/Z63)</f>
        <v/>
      </c>
      <c r="AF63" s="25" t="str">
        <f aca="false">IF(OR(T63="",N(Z63)=0),"",IF($B63="Short",-1,1)*(T63-H63)*G63/Z63)</f>
        <v/>
      </c>
      <c r="AG63" s="21" t="str">
        <f aca="false">IF(U63&lt;&gt;"Open","",Y63*MAX(0,IF($B63="Short",-1,1)*(H63-IF(K63="",I63,K63))))</f>
        <v/>
      </c>
      <c r="AH63" s="26" t="str">
        <f aca="false">IF(U63&lt;&gt;"Closed","",DATE(YEAR(P63),MONTH(P63),1))</f>
        <v/>
      </c>
      <c r="AI63" s="19" t="str">
        <f aca="false">IF(U63&lt;&gt;"Closed","",COUNTIFS($U$7:$U$506,"Closed",$P$7:$P$506,"&lt;"&amp;P63)+COUNTIFS($U$7:U63,"Closed",$P$7:P63,P63))</f>
        <v/>
      </c>
    </row>
    <row r="64" customFormat="false" ht="15" hidden="false" customHeight="false" outlineLevel="0" collapsed="false">
      <c r="A64" s="13"/>
      <c r="B64" s="14"/>
      <c r="C64" s="14"/>
      <c r="D64" s="14"/>
      <c r="E64" s="15"/>
      <c r="F64" s="15"/>
      <c r="G64" s="16"/>
      <c r="H64" s="17"/>
      <c r="I64" s="17"/>
      <c r="J64" s="17"/>
      <c r="K64" s="17"/>
      <c r="L64" s="16"/>
      <c r="M64" s="17"/>
      <c r="N64" s="16"/>
      <c r="O64" s="17"/>
      <c r="P64" s="15"/>
      <c r="Q64" s="17"/>
      <c r="R64" s="17"/>
      <c r="S64" s="17"/>
      <c r="T64" s="17"/>
      <c r="U64" s="18" t="str">
        <f aca="false">IF(A64="","",IF(N(G64)-N(L64)-N(N64)&lt;0,"Check shares",IF(AND(P64&lt;&gt;"",Q64&lt;&gt;""),"Closed","Open")))</f>
        <v/>
      </c>
      <c r="V64" s="19" t="str">
        <f aca="false">IF(OR(F64="",P64=""),"",NETWORKDAYS(F64,P64,Lists!$F$5:$F$40)-1)</f>
        <v/>
      </c>
      <c r="W64" s="18" t="str">
        <f aca="false">IF(V64="","",IF(V64=0,"Same day","Overnight"))</f>
        <v/>
      </c>
      <c r="X64" s="18" t="str">
        <f aca="false">IF(OR(E64="",F64=""),"",IF(AND(E64&gt;=F64,OR(P64="",E64&lt;=P64)),"Yes","No"))</f>
        <v/>
      </c>
      <c r="Y64" s="20" t="str">
        <f aca="false">IF(A64="","",N(G64)-N(L64)-N(N64))</f>
        <v/>
      </c>
      <c r="Z64" s="21" t="str">
        <f aca="false">IF(OR(G64="",H64="",I64=""),"",ABS(H64-I64)*G64)</f>
        <v/>
      </c>
      <c r="AA64" s="22" t="str">
        <f aca="false">IF(OR(J64="",N(Z64)=0),"",ABS(J64-H64)/ABS(H64-I64))</f>
        <v/>
      </c>
      <c r="AB64" s="23" t="str">
        <f aca="false">IF(U64&lt;&gt;"Closed","",(N(L64)*N(M64)+N(N64)*N(O64)+Y64*Q64)/G64)</f>
        <v/>
      </c>
      <c r="AC64" s="24" t="str">
        <f aca="false">IF(U64&lt;&gt;"Closed","",IF($B64="Short",-1,1)*((N(M64)-H64)*N(L64)+(N(O64)-H64)*N(N64)+(Q64-H64)*Y64)-N(R64))</f>
        <v/>
      </c>
      <c r="AD64" s="25" t="str">
        <f aca="false">IF(OR(AC64="",N(Z64)=0),"",AC64/Z64)</f>
        <v/>
      </c>
      <c r="AE64" s="25" t="str">
        <f aca="false">IF(OR(S64="",N(Z64)=0),"",IF($B64="Short",-1,1)*(S64-H64)*G64/Z64)</f>
        <v/>
      </c>
      <c r="AF64" s="25" t="str">
        <f aca="false">IF(OR(T64="",N(Z64)=0),"",IF($B64="Short",-1,1)*(T64-H64)*G64/Z64)</f>
        <v/>
      </c>
      <c r="AG64" s="21" t="str">
        <f aca="false">IF(U64&lt;&gt;"Open","",Y64*MAX(0,IF($B64="Short",-1,1)*(H64-IF(K64="",I64,K64))))</f>
        <v/>
      </c>
      <c r="AH64" s="26" t="str">
        <f aca="false">IF(U64&lt;&gt;"Closed","",DATE(YEAR(P64),MONTH(P64),1))</f>
        <v/>
      </c>
      <c r="AI64" s="19" t="str">
        <f aca="false">IF(U64&lt;&gt;"Closed","",COUNTIFS($U$7:$U$506,"Closed",$P$7:$P$506,"&lt;"&amp;P64)+COUNTIFS($U$7:U64,"Closed",$P$7:P64,P64))</f>
        <v/>
      </c>
    </row>
    <row r="65" customFormat="false" ht="15" hidden="false" customHeight="false" outlineLevel="0" collapsed="false">
      <c r="A65" s="13"/>
      <c r="B65" s="14"/>
      <c r="C65" s="14"/>
      <c r="D65" s="14"/>
      <c r="E65" s="15"/>
      <c r="F65" s="15"/>
      <c r="G65" s="16"/>
      <c r="H65" s="17"/>
      <c r="I65" s="17"/>
      <c r="J65" s="17"/>
      <c r="K65" s="17"/>
      <c r="L65" s="16"/>
      <c r="M65" s="17"/>
      <c r="N65" s="16"/>
      <c r="O65" s="17"/>
      <c r="P65" s="15"/>
      <c r="Q65" s="17"/>
      <c r="R65" s="17"/>
      <c r="S65" s="17"/>
      <c r="T65" s="17"/>
      <c r="U65" s="18" t="str">
        <f aca="false">IF(A65="","",IF(N(G65)-N(L65)-N(N65)&lt;0,"Check shares",IF(AND(P65&lt;&gt;"",Q65&lt;&gt;""),"Closed","Open")))</f>
        <v/>
      </c>
      <c r="V65" s="19" t="str">
        <f aca="false">IF(OR(F65="",P65=""),"",NETWORKDAYS(F65,P65,Lists!$F$5:$F$40)-1)</f>
        <v/>
      </c>
      <c r="W65" s="18" t="str">
        <f aca="false">IF(V65="","",IF(V65=0,"Same day","Overnight"))</f>
        <v/>
      </c>
      <c r="X65" s="18" t="str">
        <f aca="false">IF(OR(E65="",F65=""),"",IF(AND(E65&gt;=F65,OR(P65="",E65&lt;=P65)),"Yes","No"))</f>
        <v/>
      </c>
      <c r="Y65" s="20" t="str">
        <f aca="false">IF(A65="","",N(G65)-N(L65)-N(N65))</f>
        <v/>
      </c>
      <c r="Z65" s="21" t="str">
        <f aca="false">IF(OR(G65="",H65="",I65=""),"",ABS(H65-I65)*G65)</f>
        <v/>
      </c>
      <c r="AA65" s="22" t="str">
        <f aca="false">IF(OR(J65="",N(Z65)=0),"",ABS(J65-H65)/ABS(H65-I65))</f>
        <v/>
      </c>
      <c r="AB65" s="23" t="str">
        <f aca="false">IF(U65&lt;&gt;"Closed","",(N(L65)*N(M65)+N(N65)*N(O65)+Y65*Q65)/G65)</f>
        <v/>
      </c>
      <c r="AC65" s="24" t="str">
        <f aca="false">IF(U65&lt;&gt;"Closed","",IF($B65="Short",-1,1)*((N(M65)-H65)*N(L65)+(N(O65)-H65)*N(N65)+(Q65-H65)*Y65)-N(R65))</f>
        <v/>
      </c>
      <c r="AD65" s="25" t="str">
        <f aca="false">IF(OR(AC65="",N(Z65)=0),"",AC65/Z65)</f>
        <v/>
      </c>
      <c r="AE65" s="25" t="str">
        <f aca="false">IF(OR(S65="",N(Z65)=0),"",IF($B65="Short",-1,1)*(S65-H65)*G65/Z65)</f>
        <v/>
      </c>
      <c r="AF65" s="25" t="str">
        <f aca="false">IF(OR(T65="",N(Z65)=0),"",IF($B65="Short",-1,1)*(T65-H65)*G65/Z65)</f>
        <v/>
      </c>
      <c r="AG65" s="21" t="str">
        <f aca="false">IF(U65&lt;&gt;"Open","",Y65*MAX(0,IF($B65="Short",-1,1)*(H65-IF(K65="",I65,K65))))</f>
        <v/>
      </c>
      <c r="AH65" s="26" t="str">
        <f aca="false">IF(U65&lt;&gt;"Closed","",DATE(YEAR(P65),MONTH(P65),1))</f>
        <v/>
      </c>
      <c r="AI65" s="19" t="str">
        <f aca="false">IF(U65&lt;&gt;"Closed","",COUNTIFS($U$7:$U$506,"Closed",$P$7:$P$506,"&lt;"&amp;P65)+COUNTIFS($U$7:U65,"Closed",$P$7:P65,P65))</f>
        <v/>
      </c>
    </row>
    <row r="66" customFormat="false" ht="15" hidden="false" customHeight="false" outlineLevel="0" collapsed="false">
      <c r="A66" s="13"/>
      <c r="B66" s="14"/>
      <c r="C66" s="14"/>
      <c r="D66" s="14"/>
      <c r="E66" s="15"/>
      <c r="F66" s="15"/>
      <c r="G66" s="16"/>
      <c r="H66" s="17"/>
      <c r="I66" s="17"/>
      <c r="J66" s="17"/>
      <c r="K66" s="17"/>
      <c r="L66" s="16"/>
      <c r="M66" s="17"/>
      <c r="N66" s="16"/>
      <c r="O66" s="17"/>
      <c r="P66" s="15"/>
      <c r="Q66" s="17"/>
      <c r="R66" s="17"/>
      <c r="S66" s="17"/>
      <c r="T66" s="17"/>
      <c r="U66" s="18" t="str">
        <f aca="false">IF(A66="","",IF(N(G66)-N(L66)-N(N66)&lt;0,"Check shares",IF(AND(P66&lt;&gt;"",Q66&lt;&gt;""),"Closed","Open")))</f>
        <v/>
      </c>
      <c r="V66" s="19" t="str">
        <f aca="false">IF(OR(F66="",P66=""),"",NETWORKDAYS(F66,P66,Lists!$F$5:$F$40)-1)</f>
        <v/>
      </c>
      <c r="W66" s="18" t="str">
        <f aca="false">IF(V66="","",IF(V66=0,"Same day","Overnight"))</f>
        <v/>
      </c>
      <c r="X66" s="18" t="str">
        <f aca="false">IF(OR(E66="",F66=""),"",IF(AND(E66&gt;=F66,OR(P66="",E66&lt;=P66)),"Yes","No"))</f>
        <v/>
      </c>
      <c r="Y66" s="20" t="str">
        <f aca="false">IF(A66="","",N(G66)-N(L66)-N(N66))</f>
        <v/>
      </c>
      <c r="Z66" s="21" t="str">
        <f aca="false">IF(OR(G66="",H66="",I66=""),"",ABS(H66-I66)*G66)</f>
        <v/>
      </c>
      <c r="AA66" s="22" t="str">
        <f aca="false">IF(OR(J66="",N(Z66)=0),"",ABS(J66-H66)/ABS(H66-I66))</f>
        <v/>
      </c>
      <c r="AB66" s="23" t="str">
        <f aca="false">IF(U66&lt;&gt;"Closed","",(N(L66)*N(M66)+N(N66)*N(O66)+Y66*Q66)/G66)</f>
        <v/>
      </c>
      <c r="AC66" s="24" t="str">
        <f aca="false">IF(U66&lt;&gt;"Closed","",IF($B66="Short",-1,1)*((N(M66)-H66)*N(L66)+(N(O66)-H66)*N(N66)+(Q66-H66)*Y66)-N(R66))</f>
        <v/>
      </c>
      <c r="AD66" s="25" t="str">
        <f aca="false">IF(OR(AC66="",N(Z66)=0),"",AC66/Z66)</f>
        <v/>
      </c>
      <c r="AE66" s="25" t="str">
        <f aca="false">IF(OR(S66="",N(Z66)=0),"",IF($B66="Short",-1,1)*(S66-H66)*G66/Z66)</f>
        <v/>
      </c>
      <c r="AF66" s="25" t="str">
        <f aca="false">IF(OR(T66="",N(Z66)=0),"",IF($B66="Short",-1,1)*(T66-H66)*G66/Z66)</f>
        <v/>
      </c>
      <c r="AG66" s="21" t="str">
        <f aca="false">IF(U66&lt;&gt;"Open","",Y66*MAX(0,IF($B66="Short",-1,1)*(H66-IF(K66="",I66,K66))))</f>
        <v/>
      </c>
      <c r="AH66" s="26" t="str">
        <f aca="false">IF(U66&lt;&gt;"Closed","",DATE(YEAR(P66),MONTH(P66),1))</f>
        <v/>
      </c>
      <c r="AI66" s="19" t="str">
        <f aca="false">IF(U66&lt;&gt;"Closed","",COUNTIFS($U$7:$U$506,"Closed",$P$7:$P$506,"&lt;"&amp;P66)+COUNTIFS($U$7:U66,"Closed",$P$7:P66,P66))</f>
        <v/>
      </c>
    </row>
    <row r="67" customFormat="false" ht="15" hidden="false" customHeight="false" outlineLevel="0" collapsed="false">
      <c r="A67" s="13"/>
      <c r="B67" s="14"/>
      <c r="C67" s="14"/>
      <c r="D67" s="14"/>
      <c r="E67" s="15"/>
      <c r="F67" s="15"/>
      <c r="G67" s="16"/>
      <c r="H67" s="17"/>
      <c r="I67" s="17"/>
      <c r="J67" s="17"/>
      <c r="K67" s="17"/>
      <c r="L67" s="16"/>
      <c r="M67" s="17"/>
      <c r="N67" s="16"/>
      <c r="O67" s="17"/>
      <c r="P67" s="15"/>
      <c r="Q67" s="17"/>
      <c r="R67" s="17"/>
      <c r="S67" s="17"/>
      <c r="T67" s="17"/>
      <c r="U67" s="18" t="str">
        <f aca="false">IF(A67="","",IF(N(G67)-N(L67)-N(N67)&lt;0,"Check shares",IF(AND(P67&lt;&gt;"",Q67&lt;&gt;""),"Closed","Open")))</f>
        <v/>
      </c>
      <c r="V67" s="19" t="str">
        <f aca="false">IF(OR(F67="",P67=""),"",NETWORKDAYS(F67,P67,Lists!$F$5:$F$40)-1)</f>
        <v/>
      </c>
      <c r="W67" s="18" t="str">
        <f aca="false">IF(V67="","",IF(V67=0,"Same day","Overnight"))</f>
        <v/>
      </c>
      <c r="X67" s="18" t="str">
        <f aca="false">IF(OR(E67="",F67=""),"",IF(AND(E67&gt;=F67,OR(P67="",E67&lt;=P67)),"Yes","No"))</f>
        <v/>
      </c>
      <c r="Y67" s="20" t="str">
        <f aca="false">IF(A67="","",N(G67)-N(L67)-N(N67))</f>
        <v/>
      </c>
      <c r="Z67" s="21" t="str">
        <f aca="false">IF(OR(G67="",H67="",I67=""),"",ABS(H67-I67)*G67)</f>
        <v/>
      </c>
      <c r="AA67" s="22" t="str">
        <f aca="false">IF(OR(J67="",N(Z67)=0),"",ABS(J67-H67)/ABS(H67-I67))</f>
        <v/>
      </c>
      <c r="AB67" s="23" t="str">
        <f aca="false">IF(U67&lt;&gt;"Closed","",(N(L67)*N(M67)+N(N67)*N(O67)+Y67*Q67)/G67)</f>
        <v/>
      </c>
      <c r="AC67" s="24" t="str">
        <f aca="false">IF(U67&lt;&gt;"Closed","",IF($B67="Short",-1,1)*((N(M67)-H67)*N(L67)+(N(O67)-H67)*N(N67)+(Q67-H67)*Y67)-N(R67))</f>
        <v/>
      </c>
      <c r="AD67" s="25" t="str">
        <f aca="false">IF(OR(AC67="",N(Z67)=0),"",AC67/Z67)</f>
        <v/>
      </c>
      <c r="AE67" s="25" t="str">
        <f aca="false">IF(OR(S67="",N(Z67)=0),"",IF($B67="Short",-1,1)*(S67-H67)*G67/Z67)</f>
        <v/>
      </c>
      <c r="AF67" s="25" t="str">
        <f aca="false">IF(OR(T67="",N(Z67)=0),"",IF($B67="Short",-1,1)*(T67-H67)*G67/Z67)</f>
        <v/>
      </c>
      <c r="AG67" s="21" t="str">
        <f aca="false">IF(U67&lt;&gt;"Open","",Y67*MAX(0,IF($B67="Short",-1,1)*(H67-IF(K67="",I67,K67))))</f>
        <v/>
      </c>
      <c r="AH67" s="26" t="str">
        <f aca="false">IF(U67&lt;&gt;"Closed","",DATE(YEAR(P67),MONTH(P67),1))</f>
        <v/>
      </c>
      <c r="AI67" s="19" t="str">
        <f aca="false">IF(U67&lt;&gt;"Closed","",COUNTIFS($U$7:$U$506,"Closed",$P$7:$P$506,"&lt;"&amp;P67)+COUNTIFS($U$7:U67,"Closed",$P$7:P67,P67))</f>
        <v/>
      </c>
    </row>
    <row r="68" customFormat="false" ht="15" hidden="false" customHeight="false" outlineLevel="0" collapsed="false">
      <c r="A68" s="13"/>
      <c r="B68" s="14"/>
      <c r="C68" s="14"/>
      <c r="D68" s="14"/>
      <c r="E68" s="15"/>
      <c r="F68" s="15"/>
      <c r="G68" s="16"/>
      <c r="H68" s="17"/>
      <c r="I68" s="17"/>
      <c r="J68" s="17"/>
      <c r="K68" s="17"/>
      <c r="L68" s="16"/>
      <c r="M68" s="17"/>
      <c r="N68" s="16"/>
      <c r="O68" s="17"/>
      <c r="P68" s="15"/>
      <c r="Q68" s="17"/>
      <c r="R68" s="17"/>
      <c r="S68" s="17"/>
      <c r="T68" s="17"/>
      <c r="U68" s="18" t="str">
        <f aca="false">IF(A68="","",IF(N(G68)-N(L68)-N(N68)&lt;0,"Check shares",IF(AND(P68&lt;&gt;"",Q68&lt;&gt;""),"Closed","Open")))</f>
        <v/>
      </c>
      <c r="V68" s="19" t="str">
        <f aca="false">IF(OR(F68="",P68=""),"",NETWORKDAYS(F68,P68,Lists!$F$5:$F$40)-1)</f>
        <v/>
      </c>
      <c r="W68" s="18" t="str">
        <f aca="false">IF(V68="","",IF(V68=0,"Same day","Overnight"))</f>
        <v/>
      </c>
      <c r="X68" s="18" t="str">
        <f aca="false">IF(OR(E68="",F68=""),"",IF(AND(E68&gt;=F68,OR(P68="",E68&lt;=P68)),"Yes","No"))</f>
        <v/>
      </c>
      <c r="Y68" s="20" t="str">
        <f aca="false">IF(A68="","",N(G68)-N(L68)-N(N68))</f>
        <v/>
      </c>
      <c r="Z68" s="21" t="str">
        <f aca="false">IF(OR(G68="",H68="",I68=""),"",ABS(H68-I68)*G68)</f>
        <v/>
      </c>
      <c r="AA68" s="22" t="str">
        <f aca="false">IF(OR(J68="",N(Z68)=0),"",ABS(J68-H68)/ABS(H68-I68))</f>
        <v/>
      </c>
      <c r="AB68" s="23" t="str">
        <f aca="false">IF(U68&lt;&gt;"Closed","",(N(L68)*N(M68)+N(N68)*N(O68)+Y68*Q68)/G68)</f>
        <v/>
      </c>
      <c r="AC68" s="24" t="str">
        <f aca="false">IF(U68&lt;&gt;"Closed","",IF($B68="Short",-1,1)*((N(M68)-H68)*N(L68)+(N(O68)-H68)*N(N68)+(Q68-H68)*Y68)-N(R68))</f>
        <v/>
      </c>
      <c r="AD68" s="25" t="str">
        <f aca="false">IF(OR(AC68="",N(Z68)=0),"",AC68/Z68)</f>
        <v/>
      </c>
      <c r="AE68" s="25" t="str">
        <f aca="false">IF(OR(S68="",N(Z68)=0),"",IF($B68="Short",-1,1)*(S68-H68)*G68/Z68)</f>
        <v/>
      </c>
      <c r="AF68" s="25" t="str">
        <f aca="false">IF(OR(T68="",N(Z68)=0),"",IF($B68="Short",-1,1)*(T68-H68)*G68/Z68)</f>
        <v/>
      </c>
      <c r="AG68" s="21" t="str">
        <f aca="false">IF(U68&lt;&gt;"Open","",Y68*MAX(0,IF($B68="Short",-1,1)*(H68-IF(K68="",I68,K68))))</f>
        <v/>
      </c>
      <c r="AH68" s="26" t="str">
        <f aca="false">IF(U68&lt;&gt;"Closed","",DATE(YEAR(P68),MONTH(P68),1))</f>
        <v/>
      </c>
      <c r="AI68" s="19" t="str">
        <f aca="false">IF(U68&lt;&gt;"Closed","",COUNTIFS($U$7:$U$506,"Closed",$P$7:$P$506,"&lt;"&amp;P68)+COUNTIFS($U$7:U68,"Closed",$P$7:P68,P68))</f>
        <v/>
      </c>
    </row>
    <row r="69" customFormat="false" ht="15" hidden="false" customHeight="false" outlineLevel="0" collapsed="false">
      <c r="A69" s="13"/>
      <c r="B69" s="14"/>
      <c r="C69" s="14"/>
      <c r="D69" s="14"/>
      <c r="E69" s="15"/>
      <c r="F69" s="15"/>
      <c r="G69" s="16"/>
      <c r="H69" s="17"/>
      <c r="I69" s="17"/>
      <c r="J69" s="17"/>
      <c r="K69" s="17"/>
      <c r="L69" s="16"/>
      <c r="M69" s="17"/>
      <c r="N69" s="16"/>
      <c r="O69" s="17"/>
      <c r="P69" s="15"/>
      <c r="Q69" s="17"/>
      <c r="R69" s="17"/>
      <c r="S69" s="17"/>
      <c r="T69" s="17"/>
      <c r="U69" s="18" t="str">
        <f aca="false">IF(A69="","",IF(N(G69)-N(L69)-N(N69)&lt;0,"Check shares",IF(AND(P69&lt;&gt;"",Q69&lt;&gt;""),"Closed","Open")))</f>
        <v/>
      </c>
      <c r="V69" s="19" t="str">
        <f aca="false">IF(OR(F69="",P69=""),"",NETWORKDAYS(F69,P69,Lists!$F$5:$F$40)-1)</f>
        <v/>
      </c>
      <c r="W69" s="18" t="str">
        <f aca="false">IF(V69="","",IF(V69=0,"Same day","Overnight"))</f>
        <v/>
      </c>
      <c r="X69" s="18" t="str">
        <f aca="false">IF(OR(E69="",F69=""),"",IF(AND(E69&gt;=F69,OR(P69="",E69&lt;=P69)),"Yes","No"))</f>
        <v/>
      </c>
      <c r="Y69" s="20" t="str">
        <f aca="false">IF(A69="","",N(G69)-N(L69)-N(N69))</f>
        <v/>
      </c>
      <c r="Z69" s="21" t="str">
        <f aca="false">IF(OR(G69="",H69="",I69=""),"",ABS(H69-I69)*G69)</f>
        <v/>
      </c>
      <c r="AA69" s="22" t="str">
        <f aca="false">IF(OR(J69="",N(Z69)=0),"",ABS(J69-H69)/ABS(H69-I69))</f>
        <v/>
      </c>
      <c r="AB69" s="23" t="str">
        <f aca="false">IF(U69&lt;&gt;"Closed","",(N(L69)*N(M69)+N(N69)*N(O69)+Y69*Q69)/G69)</f>
        <v/>
      </c>
      <c r="AC69" s="24" t="str">
        <f aca="false">IF(U69&lt;&gt;"Closed","",IF($B69="Short",-1,1)*((N(M69)-H69)*N(L69)+(N(O69)-H69)*N(N69)+(Q69-H69)*Y69)-N(R69))</f>
        <v/>
      </c>
      <c r="AD69" s="25" t="str">
        <f aca="false">IF(OR(AC69="",N(Z69)=0),"",AC69/Z69)</f>
        <v/>
      </c>
      <c r="AE69" s="25" t="str">
        <f aca="false">IF(OR(S69="",N(Z69)=0),"",IF($B69="Short",-1,1)*(S69-H69)*G69/Z69)</f>
        <v/>
      </c>
      <c r="AF69" s="25" t="str">
        <f aca="false">IF(OR(T69="",N(Z69)=0),"",IF($B69="Short",-1,1)*(T69-H69)*G69/Z69)</f>
        <v/>
      </c>
      <c r="AG69" s="21" t="str">
        <f aca="false">IF(U69&lt;&gt;"Open","",Y69*MAX(0,IF($B69="Short",-1,1)*(H69-IF(K69="",I69,K69))))</f>
        <v/>
      </c>
      <c r="AH69" s="26" t="str">
        <f aca="false">IF(U69&lt;&gt;"Closed","",DATE(YEAR(P69),MONTH(P69),1))</f>
        <v/>
      </c>
      <c r="AI69" s="19" t="str">
        <f aca="false">IF(U69&lt;&gt;"Closed","",COUNTIFS($U$7:$U$506,"Closed",$P$7:$P$506,"&lt;"&amp;P69)+COUNTIFS($U$7:U69,"Closed",$P$7:P69,P69))</f>
        <v/>
      </c>
    </row>
    <row r="70" customFormat="false" ht="15" hidden="false" customHeight="false" outlineLevel="0" collapsed="false">
      <c r="A70" s="13"/>
      <c r="B70" s="14"/>
      <c r="C70" s="14"/>
      <c r="D70" s="14"/>
      <c r="E70" s="15"/>
      <c r="F70" s="15"/>
      <c r="G70" s="16"/>
      <c r="H70" s="17"/>
      <c r="I70" s="17"/>
      <c r="J70" s="17"/>
      <c r="K70" s="17"/>
      <c r="L70" s="16"/>
      <c r="M70" s="17"/>
      <c r="N70" s="16"/>
      <c r="O70" s="17"/>
      <c r="P70" s="15"/>
      <c r="Q70" s="17"/>
      <c r="R70" s="17"/>
      <c r="S70" s="17"/>
      <c r="T70" s="17"/>
      <c r="U70" s="18" t="str">
        <f aca="false">IF(A70="","",IF(N(G70)-N(L70)-N(N70)&lt;0,"Check shares",IF(AND(P70&lt;&gt;"",Q70&lt;&gt;""),"Closed","Open")))</f>
        <v/>
      </c>
      <c r="V70" s="19" t="str">
        <f aca="false">IF(OR(F70="",P70=""),"",NETWORKDAYS(F70,P70,Lists!$F$5:$F$40)-1)</f>
        <v/>
      </c>
      <c r="W70" s="18" t="str">
        <f aca="false">IF(V70="","",IF(V70=0,"Same day","Overnight"))</f>
        <v/>
      </c>
      <c r="X70" s="18" t="str">
        <f aca="false">IF(OR(E70="",F70=""),"",IF(AND(E70&gt;=F70,OR(P70="",E70&lt;=P70)),"Yes","No"))</f>
        <v/>
      </c>
      <c r="Y70" s="20" t="str">
        <f aca="false">IF(A70="","",N(G70)-N(L70)-N(N70))</f>
        <v/>
      </c>
      <c r="Z70" s="21" t="str">
        <f aca="false">IF(OR(G70="",H70="",I70=""),"",ABS(H70-I70)*G70)</f>
        <v/>
      </c>
      <c r="AA70" s="22" t="str">
        <f aca="false">IF(OR(J70="",N(Z70)=0),"",ABS(J70-H70)/ABS(H70-I70))</f>
        <v/>
      </c>
      <c r="AB70" s="23" t="str">
        <f aca="false">IF(U70&lt;&gt;"Closed","",(N(L70)*N(M70)+N(N70)*N(O70)+Y70*Q70)/G70)</f>
        <v/>
      </c>
      <c r="AC70" s="24" t="str">
        <f aca="false">IF(U70&lt;&gt;"Closed","",IF($B70="Short",-1,1)*((N(M70)-H70)*N(L70)+(N(O70)-H70)*N(N70)+(Q70-H70)*Y70)-N(R70))</f>
        <v/>
      </c>
      <c r="AD70" s="25" t="str">
        <f aca="false">IF(OR(AC70="",N(Z70)=0),"",AC70/Z70)</f>
        <v/>
      </c>
      <c r="AE70" s="25" t="str">
        <f aca="false">IF(OR(S70="",N(Z70)=0),"",IF($B70="Short",-1,1)*(S70-H70)*G70/Z70)</f>
        <v/>
      </c>
      <c r="AF70" s="25" t="str">
        <f aca="false">IF(OR(T70="",N(Z70)=0),"",IF($B70="Short",-1,1)*(T70-H70)*G70/Z70)</f>
        <v/>
      </c>
      <c r="AG70" s="21" t="str">
        <f aca="false">IF(U70&lt;&gt;"Open","",Y70*MAX(0,IF($B70="Short",-1,1)*(H70-IF(K70="",I70,K70))))</f>
        <v/>
      </c>
      <c r="AH70" s="26" t="str">
        <f aca="false">IF(U70&lt;&gt;"Closed","",DATE(YEAR(P70),MONTH(P70),1))</f>
        <v/>
      </c>
      <c r="AI70" s="19" t="str">
        <f aca="false">IF(U70&lt;&gt;"Closed","",COUNTIFS($U$7:$U$506,"Closed",$P$7:$P$506,"&lt;"&amp;P70)+COUNTIFS($U$7:U70,"Closed",$P$7:P70,P70))</f>
        <v/>
      </c>
    </row>
    <row r="71" customFormat="false" ht="15" hidden="false" customHeight="false" outlineLevel="0" collapsed="false">
      <c r="A71" s="13"/>
      <c r="B71" s="14"/>
      <c r="C71" s="14"/>
      <c r="D71" s="14"/>
      <c r="E71" s="15"/>
      <c r="F71" s="15"/>
      <c r="G71" s="16"/>
      <c r="H71" s="17"/>
      <c r="I71" s="17"/>
      <c r="J71" s="17"/>
      <c r="K71" s="17"/>
      <c r="L71" s="16"/>
      <c r="M71" s="17"/>
      <c r="N71" s="16"/>
      <c r="O71" s="17"/>
      <c r="P71" s="15"/>
      <c r="Q71" s="17"/>
      <c r="R71" s="17"/>
      <c r="S71" s="17"/>
      <c r="T71" s="17"/>
      <c r="U71" s="18" t="str">
        <f aca="false">IF(A71="","",IF(N(G71)-N(L71)-N(N71)&lt;0,"Check shares",IF(AND(P71&lt;&gt;"",Q71&lt;&gt;""),"Closed","Open")))</f>
        <v/>
      </c>
      <c r="V71" s="19" t="str">
        <f aca="false">IF(OR(F71="",P71=""),"",NETWORKDAYS(F71,P71,Lists!$F$5:$F$40)-1)</f>
        <v/>
      </c>
      <c r="W71" s="18" t="str">
        <f aca="false">IF(V71="","",IF(V71=0,"Same day","Overnight"))</f>
        <v/>
      </c>
      <c r="X71" s="18" t="str">
        <f aca="false">IF(OR(E71="",F71=""),"",IF(AND(E71&gt;=F71,OR(P71="",E71&lt;=P71)),"Yes","No"))</f>
        <v/>
      </c>
      <c r="Y71" s="20" t="str">
        <f aca="false">IF(A71="","",N(G71)-N(L71)-N(N71))</f>
        <v/>
      </c>
      <c r="Z71" s="21" t="str">
        <f aca="false">IF(OR(G71="",H71="",I71=""),"",ABS(H71-I71)*G71)</f>
        <v/>
      </c>
      <c r="AA71" s="22" t="str">
        <f aca="false">IF(OR(J71="",N(Z71)=0),"",ABS(J71-H71)/ABS(H71-I71))</f>
        <v/>
      </c>
      <c r="AB71" s="23" t="str">
        <f aca="false">IF(U71&lt;&gt;"Closed","",(N(L71)*N(M71)+N(N71)*N(O71)+Y71*Q71)/G71)</f>
        <v/>
      </c>
      <c r="AC71" s="24" t="str">
        <f aca="false">IF(U71&lt;&gt;"Closed","",IF($B71="Short",-1,1)*((N(M71)-H71)*N(L71)+(N(O71)-H71)*N(N71)+(Q71-H71)*Y71)-N(R71))</f>
        <v/>
      </c>
      <c r="AD71" s="25" t="str">
        <f aca="false">IF(OR(AC71="",N(Z71)=0),"",AC71/Z71)</f>
        <v/>
      </c>
      <c r="AE71" s="25" t="str">
        <f aca="false">IF(OR(S71="",N(Z71)=0),"",IF($B71="Short",-1,1)*(S71-H71)*G71/Z71)</f>
        <v/>
      </c>
      <c r="AF71" s="25" t="str">
        <f aca="false">IF(OR(T71="",N(Z71)=0),"",IF($B71="Short",-1,1)*(T71-H71)*G71/Z71)</f>
        <v/>
      </c>
      <c r="AG71" s="21" t="str">
        <f aca="false">IF(U71&lt;&gt;"Open","",Y71*MAX(0,IF($B71="Short",-1,1)*(H71-IF(K71="",I71,K71))))</f>
        <v/>
      </c>
      <c r="AH71" s="26" t="str">
        <f aca="false">IF(U71&lt;&gt;"Closed","",DATE(YEAR(P71),MONTH(P71),1))</f>
        <v/>
      </c>
      <c r="AI71" s="19" t="str">
        <f aca="false">IF(U71&lt;&gt;"Closed","",COUNTIFS($U$7:$U$506,"Closed",$P$7:$P$506,"&lt;"&amp;P71)+COUNTIFS($U$7:U71,"Closed",$P$7:P71,P71))</f>
        <v/>
      </c>
    </row>
    <row r="72" customFormat="false" ht="15" hidden="false" customHeight="false" outlineLevel="0" collapsed="false">
      <c r="A72" s="13"/>
      <c r="B72" s="14"/>
      <c r="C72" s="14"/>
      <c r="D72" s="14"/>
      <c r="E72" s="15"/>
      <c r="F72" s="15"/>
      <c r="G72" s="16"/>
      <c r="H72" s="17"/>
      <c r="I72" s="17"/>
      <c r="J72" s="17"/>
      <c r="K72" s="17"/>
      <c r="L72" s="16"/>
      <c r="M72" s="17"/>
      <c r="N72" s="16"/>
      <c r="O72" s="17"/>
      <c r="P72" s="15"/>
      <c r="Q72" s="17"/>
      <c r="R72" s="17"/>
      <c r="S72" s="17"/>
      <c r="T72" s="17"/>
      <c r="U72" s="18" t="str">
        <f aca="false">IF(A72="","",IF(N(G72)-N(L72)-N(N72)&lt;0,"Check shares",IF(AND(P72&lt;&gt;"",Q72&lt;&gt;""),"Closed","Open")))</f>
        <v/>
      </c>
      <c r="V72" s="19" t="str">
        <f aca="false">IF(OR(F72="",P72=""),"",NETWORKDAYS(F72,P72,Lists!$F$5:$F$40)-1)</f>
        <v/>
      </c>
      <c r="W72" s="18" t="str">
        <f aca="false">IF(V72="","",IF(V72=0,"Same day","Overnight"))</f>
        <v/>
      </c>
      <c r="X72" s="18" t="str">
        <f aca="false">IF(OR(E72="",F72=""),"",IF(AND(E72&gt;=F72,OR(P72="",E72&lt;=P72)),"Yes","No"))</f>
        <v/>
      </c>
      <c r="Y72" s="20" t="str">
        <f aca="false">IF(A72="","",N(G72)-N(L72)-N(N72))</f>
        <v/>
      </c>
      <c r="Z72" s="21" t="str">
        <f aca="false">IF(OR(G72="",H72="",I72=""),"",ABS(H72-I72)*G72)</f>
        <v/>
      </c>
      <c r="AA72" s="22" t="str">
        <f aca="false">IF(OR(J72="",N(Z72)=0),"",ABS(J72-H72)/ABS(H72-I72))</f>
        <v/>
      </c>
      <c r="AB72" s="23" t="str">
        <f aca="false">IF(U72&lt;&gt;"Closed","",(N(L72)*N(M72)+N(N72)*N(O72)+Y72*Q72)/G72)</f>
        <v/>
      </c>
      <c r="AC72" s="24" t="str">
        <f aca="false">IF(U72&lt;&gt;"Closed","",IF($B72="Short",-1,1)*((N(M72)-H72)*N(L72)+(N(O72)-H72)*N(N72)+(Q72-H72)*Y72)-N(R72))</f>
        <v/>
      </c>
      <c r="AD72" s="25" t="str">
        <f aca="false">IF(OR(AC72="",N(Z72)=0),"",AC72/Z72)</f>
        <v/>
      </c>
      <c r="AE72" s="25" t="str">
        <f aca="false">IF(OR(S72="",N(Z72)=0),"",IF($B72="Short",-1,1)*(S72-H72)*G72/Z72)</f>
        <v/>
      </c>
      <c r="AF72" s="25" t="str">
        <f aca="false">IF(OR(T72="",N(Z72)=0),"",IF($B72="Short",-1,1)*(T72-H72)*G72/Z72)</f>
        <v/>
      </c>
      <c r="AG72" s="21" t="str">
        <f aca="false">IF(U72&lt;&gt;"Open","",Y72*MAX(0,IF($B72="Short",-1,1)*(H72-IF(K72="",I72,K72))))</f>
        <v/>
      </c>
      <c r="AH72" s="26" t="str">
        <f aca="false">IF(U72&lt;&gt;"Closed","",DATE(YEAR(P72),MONTH(P72),1))</f>
        <v/>
      </c>
      <c r="AI72" s="19" t="str">
        <f aca="false">IF(U72&lt;&gt;"Closed","",COUNTIFS($U$7:$U$506,"Closed",$P$7:$P$506,"&lt;"&amp;P72)+COUNTIFS($U$7:U72,"Closed",$P$7:P72,P72))</f>
        <v/>
      </c>
    </row>
    <row r="73" customFormat="false" ht="15" hidden="false" customHeight="false" outlineLevel="0" collapsed="false">
      <c r="A73" s="13"/>
      <c r="B73" s="14"/>
      <c r="C73" s="14"/>
      <c r="D73" s="14"/>
      <c r="E73" s="15"/>
      <c r="F73" s="15"/>
      <c r="G73" s="16"/>
      <c r="H73" s="17"/>
      <c r="I73" s="17"/>
      <c r="J73" s="17"/>
      <c r="K73" s="17"/>
      <c r="L73" s="16"/>
      <c r="M73" s="17"/>
      <c r="N73" s="16"/>
      <c r="O73" s="17"/>
      <c r="P73" s="15"/>
      <c r="Q73" s="17"/>
      <c r="R73" s="17"/>
      <c r="S73" s="17"/>
      <c r="T73" s="17"/>
      <c r="U73" s="18" t="str">
        <f aca="false">IF(A73="","",IF(N(G73)-N(L73)-N(N73)&lt;0,"Check shares",IF(AND(P73&lt;&gt;"",Q73&lt;&gt;""),"Closed","Open")))</f>
        <v/>
      </c>
      <c r="V73" s="19" t="str">
        <f aca="false">IF(OR(F73="",P73=""),"",NETWORKDAYS(F73,P73,Lists!$F$5:$F$40)-1)</f>
        <v/>
      </c>
      <c r="W73" s="18" t="str">
        <f aca="false">IF(V73="","",IF(V73=0,"Same day","Overnight"))</f>
        <v/>
      </c>
      <c r="X73" s="18" t="str">
        <f aca="false">IF(OR(E73="",F73=""),"",IF(AND(E73&gt;=F73,OR(P73="",E73&lt;=P73)),"Yes","No"))</f>
        <v/>
      </c>
      <c r="Y73" s="20" t="str">
        <f aca="false">IF(A73="","",N(G73)-N(L73)-N(N73))</f>
        <v/>
      </c>
      <c r="Z73" s="21" t="str">
        <f aca="false">IF(OR(G73="",H73="",I73=""),"",ABS(H73-I73)*G73)</f>
        <v/>
      </c>
      <c r="AA73" s="22" t="str">
        <f aca="false">IF(OR(J73="",N(Z73)=0),"",ABS(J73-H73)/ABS(H73-I73))</f>
        <v/>
      </c>
      <c r="AB73" s="23" t="str">
        <f aca="false">IF(U73&lt;&gt;"Closed","",(N(L73)*N(M73)+N(N73)*N(O73)+Y73*Q73)/G73)</f>
        <v/>
      </c>
      <c r="AC73" s="24" t="str">
        <f aca="false">IF(U73&lt;&gt;"Closed","",IF($B73="Short",-1,1)*((N(M73)-H73)*N(L73)+(N(O73)-H73)*N(N73)+(Q73-H73)*Y73)-N(R73))</f>
        <v/>
      </c>
      <c r="AD73" s="25" t="str">
        <f aca="false">IF(OR(AC73="",N(Z73)=0),"",AC73/Z73)</f>
        <v/>
      </c>
      <c r="AE73" s="25" t="str">
        <f aca="false">IF(OR(S73="",N(Z73)=0),"",IF($B73="Short",-1,1)*(S73-H73)*G73/Z73)</f>
        <v/>
      </c>
      <c r="AF73" s="25" t="str">
        <f aca="false">IF(OR(T73="",N(Z73)=0),"",IF($B73="Short",-1,1)*(T73-H73)*G73/Z73)</f>
        <v/>
      </c>
      <c r="AG73" s="21" t="str">
        <f aca="false">IF(U73&lt;&gt;"Open","",Y73*MAX(0,IF($B73="Short",-1,1)*(H73-IF(K73="",I73,K73))))</f>
        <v/>
      </c>
      <c r="AH73" s="26" t="str">
        <f aca="false">IF(U73&lt;&gt;"Closed","",DATE(YEAR(P73),MONTH(P73),1))</f>
        <v/>
      </c>
      <c r="AI73" s="19" t="str">
        <f aca="false">IF(U73&lt;&gt;"Closed","",COUNTIFS($U$7:$U$506,"Closed",$P$7:$P$506,"&lt;"&amp;P73)+COUNTIFS($U$7:U73,"Closed",$P$7:P73,P73))</f>
        <v/>
      </c>
    </row>
    <row r="74" customFormat="false" ht="15" hidden="false" customHeight="false" outlineLevel="0" collapsed="false">
      <c r="A74" s="13"/>
      <c r="B74" s="14"/>
      <c r="C74" s="14"/>
      <c r="D74" s="14"/>
      <c r="E74" s="15"/>
      <c r="F74" s="15"/>
      <c r="G74" s="16"/>
      <c r="H74" s="17"/>
      <c r="I74" s="17"/>
      <c r="J74" s="17"/>
      <c r="K74" s="17"/>
      <c r="L74" s="16"/>
      <c r="M74" s="17"/>
      <c r="N74" s="16"/>
      <c r="O74" s="17"/>
      <c r="P74" s="15"/>
      <c r="Q74" s="17"/>
      <c r="R74" s="17"/>
      <c r="S74" s="17"/>
      <c r="T74" s="17"/>
      <c r="U74" s="18" t="str">
        <f aca="false">IF(A74="","",IF(N(G74)-N(L74)-N(N74)&lt;0,"Check shares",IF(AND(P74&lt;&gt;"",Q74&lt;&gt;""),"Closed","Open")))</f>
        <v/>
      </c>
      <c r="V74" s="19" t="str">
        <f aca="false">IF(OR(F74="",P74=""),"",NETWORKDAYS(F74,P74,Lists!$F$5:$F$40)-1)</f>
        <v/>
      </c>
      <c r="W74" s="18" t="str">
        <f aca="false">IF(V74="","",IF(V74=0,"Same day","Overnight"))</f>
        <v/>
      </c>
      <c r="X74" s="18" t="str">
        <f aca="false">IF(OR(E74="",F74=""),"",IF(AND(E74&gt;=F74,OR(P74="",E74&lt;=P74)),"Yes","No"))</f>
        <v/>
      </c>
      <c r="Y74" s="20" t="str">
        <f aca="false">IF(A74="","",N(G74)-N(L74)-N(N74))</f>
        <v/>
      </c>
      <c r="Z74" s="21" t="str">
        <f aca="false">IF(OR(G74="",H74="",I74=""),"",ABS(H74-I74)*G74)</f>
        <v/>
      </c>
      <c r="AA74" s="22" t="str">
        <f aca="false">IF(OR(J74="",N(Z74)=0),"",ABS(J74-H74)/ABS(H74-I74))</f>
        <v/>
      </c>
      <c r="AB74" s="23" t="str">
        <f aca="false">IF(U74&lt;&gt;"Closed","",(N(L74)*N(M74)+N(N74)*N(O74)+Y74*Q74)/G74)</f>
        <v/>
      </c>
      <c r="AC74" s="24" t="str">
        <f aca="false">IF(U74&lt;&gt;"Closed","",IF($B74="Short",-1,1)*((N(M74)-H74)*N(L74)+(N(O74)-H74)*N(N74)+(Q74-H74)*Y74)-N(R74))</f>
        <v/>
      </c>
      <c r="AD74" s="25" t="str">
        <f aca="false">IF(OR(AC74="",N(Z74)=0),"",AC74/Z74)</f>
        <v/>
      </c>
      <c r="AE74" s="25" t="str">
        <f aca="false">IF(OR(S74="",N(Z74)=0),"",IF($B74="Short",-1,1)*(S74-H74)*G74/Z74)</f>
        <v/>
      </c>
      <c r="AF74" s="25" t="str">
        <f aca="false">IF(OR(T74="",N(Z74)=0),"",IF($B74="Short",-1,1)*(T74-H74)*G74/Z74)</f>
        <v/>
      </c>
      <c r="AG74" s="21" t="str">
        <f aca="false">IF(U74&lt;&gt;"Open","",Y74*MAX(0,IF($B74="Short",-1,1)*(H74-IF(K74="",I74,K74))))</f>
        <v/>
      </c>
      <c r="AH74" s="26" t="str">
        <f aca="false">IF(U74&lt;&gt;"Closed","",DATE(YEAR(P74),MONTH(P74),1))</f>
        <v/>
      </c>
      <c r="AI74" s="19" t="str">
        <f aca="false">IF(U74&lt;&gt;"Closed","",COUNTIFS($U$7:$U$506,"Closed",$P$7:$P$506,"&lt;"&amp;P74)+COUNTIFS($U$7:U74,"Closed",$P$7:P74,P74))</f>
        <v/>
      </c>
    </row>
    <row r="75" customFormat="false" ht="15" hidden="false" customHeight="false" outlineLevel="0" collapsed="false">
      <c r="A75" s="13"/>
      <c r="B75" s="14"/>
      <c r="C75" s="14"/>
      <c r="D75" s="14"/>
      <c r="E75" s="15"/>
      <c r="F75" s="15"/>
      <c r="G75" s="16"/>
      <c r="H75" s="17"/>
      <c r="I75" s="17"/>
      <c r="J75" s="17"/>
      <c r="K75" s="17"/>
      <c r="L75" s="16"/>
      <c r="M75" s="17"/>
      <c r="N75" s="16"/>
      <c r="O75" s="17"/>
      <c r="P75" s="15"/>
      <c r="Q75" s="17"/>
      <c r="R75" s="17"/>
      <c r="S75" s="17"/>
      <c r="T75" s="17"/>
      <c r="U75" s="18" t="str">
        <f aca="false">IF(A75="","",IF(N(G75)-N(L75)-N(N75)&lt;0,"Check shares",IF(AND(P75&lt;&gt;"",Q75&lt;&gt;""),"Closed","Open")))</f>
        <v/>
      </c>
      <c r="V75" s="19" t="str">
        <f aca="false">IF(OR(F75="",P75=""),"",NETWORKDAYS(F75,P75,Lists!$F$5:$F$40)-1)</f>
        <v/>
      </c>
      <c r="W75" s="18" t="str">
        <f aca="false">IF(V75="","",IF(V75=0,"Same day","Overnight"))</f>
        <v/>
      </c>
      <c r="X75" s="18" t="str">
        <f aca="false">IF(OR(E75="",F75=""),"",IF(AND(E75&gt;=F75,OR(P75="",E75&lt;=P75)),"Yes","No"))</f>
        <v/>
      </c>
      <c r="Y75" s="20" t="str">
        <f aca="false">IF(A75="","",N(G75)-N(L75)-N(N75))</f>
        <v/>
      </c>
      <c r="Z75" s="21" t="str">
        <f aca="false">IF(OR(G75="",H75="",I75=""),"",ABS(H75-I75)*G75)</f>
        <v/>
      </c>
      <c r="AA75" s="22" t="str">
        <f aca="false">IF(OR(J75="",N(Z75)=0),"",ABS(J75-H75)/ABS(H75-I75))</f>
        <v/>
      </c>
      <c r="AB75" s="23" t="str">
        <f aca="false">IF(U75&lt;&gt;"Closed","",(N(L75)*N(M75)+N(N75)*N(O75)+Y75*Q75)/G75)</f>
        <v/>
      </c>
      <c r="AC75" s="24" t="str">
        <f aca="false">IF(U75&lt;&gt;"Closed","",IF($B75="Short",-1,1)*((N(M75)-H75)*N(L75)+(N(O75)-H75)*N(N75)+(Q75-H75)*Y75)-N(R75))</f>
        <v/>
      </c>
      <c r="AD75" s="25" t="str">
        <f aca="false">IF(OR(AC75="",N(Z75)=0),"",AC75/Z75)</f>
        <v/>
      </c>
      <c r="AE75" s="25" t="str">
        <f aca="false">IF(OR(S75="",N(Z75)=0),"",IF($B75="Short",-1,1)*(S75-H75)*G75/Z75)</f>
        <v/>
      </c>
      <c r="AF75" s="25" t="str">
        <f aca="false">IF(OR(T75="",N(Z75)=0),"",IF($B75="Short",-1,1)*(T75-H75)*G75/Z75)</f>
        <v/>
      </c>
      <c r="AG75" s="21" t="str">
        <f aca="false">IF(U75&lt;&gt;"Open","",Y75*MAX(0,IF($B75="Short",-1,1)*(H75-IF(K75="",I75,K75))))</f>
        <v/>
      </c>
      <c r="AH75" s="26" t="str">
        <f aca="false">IF(U75&lt;&gt;"Closed","",DATE(YEAR(P75),MONTH(P75),1))</f>
        <v/>
      </c>
      <c r="AI75" s="19" t="str">
        <f aca="false">IF(U75&lt;&gt;"Closed","",COUNTIFS($U$7:$U$506,"Closed",$P$7:$P$506,"&lt;"&amp;P75)+COUNTIFS($U$7:U75,"Closed",$P$7:P75,P75))</f>
        <v/>
      </c>
    </row>
    <row r="76" customFormat="false" ht="15" hidden="false" customHeight="false" outlineLevel="0" collapsed="false">
      <c r="A76" s="13"/>
      <c r="B76" s="14"/>
      <c r="C76" s="14"/>
      <c r="D76" s="14"/>
      <c r="E76" s="15"/>
      <c r="F76" s="15"/>
      <c r="G76" s="16"/>
      <c r="H76" s="17"/>
      <c r="I76" s="17"/>
      <c r="J76" s="17"/>
      <c r="K76" s="17"/>
      <c r="L76" s="16"/>
      <c r="M76" s="17"/>
      <c r="N76" s="16"/>
      <c r="O76" s="17"/>
      <c r="P76" s="15"/>
      <c r="Q76" s="17"/>
      <c r="R76" s="17"/>
      <c r="S76" s="17"/>
      <c r="T76" s="17"/>
      <c r="U76" s="18" t="str">
        <f aca="false">IF(A76="","",IF(N(G76)-N(L76)-N(N76)&lt;0,"Check shares",IF(AND(P76&lt;&gt;"",Q76&lt;&gt;""),"Closed","Open")))</f>
        <v/>
      </c>
      <c r="V76" s="19" t="str">
        <f aca="false">IF(OR(F76="",P76=""),"",NETWORKDAYS(F76,P76,Lists!$F$5:$F$40)-1)</f>
        <v/>
      </c>
      <c r="W76" s="18" t="str">
        <f aca="false">IF(V76="","",IF(V76=0,"Same day","Overnight"))</f>
        <v/>
      </c>
      <c r="X76" s="18" t="str">
        <f aca="false">IF(OR(E76="",F76=""),"",IF(AND(E76&gt;=F76,OR(P76="",E76&lt;=P76)),"Yes","No"))</f>
        <v/>
      </c>
      <c r="Y76" s="20" t="str">
        <f aca="false">IF(A76="","",N(G76)-N(L76)-N(N76))</f>
        <v/>
      </c>
      <c r="Z76" s="21" t="str">
        <f aca="false">IF(OR(G76="",H76="",I76=""),"",ABS(H76-I76)*G76)</f>
        <v/>
      </c>
      <c r="AA76" s="22" t="str">
        <f aca="false">IF(OR(J76="",N(Z76)=0),"",ABS(J76-H76)/ABS(H76-I76))</f>
        <v/>
      </c>
      <c r="AB76" s="23" t="str">
        <f aca="false">IF(U76&lt;&gt;"Closed","",(N(L76)*N(M76)+N(N76)*N(O76)+Y76*Q76)/G76)</f>
        <v/>
      </c>
      <c r="AC76" s="24" t="str">
        <f aca="false">IF(U76&lt;&gt;"Closed","",IF($B76="Short",-1,1)*((N(M76)-H76)*N(L76)+(N(O76)-H76)*N(N76)+(Q76-H76)*Y76)-N(R76))</f>
        <v/>
      </c>
      <c r="AD76" s="25" t="str">
        <f aca="false">IF(OR(AC76="",N(Z76)=0),"",AC76/Z76)</f>
        <v/>
      </c>
      <c r="AE76" s="25" t="str">
        <f aca="false">IF(OR(S76="",N(Z76)=0),"",IF($B76="Short",-1,1)*(S76-H76)*G76/Z76)</f>
        <v/>
      </c>
      <c r="AF76" s="25" t="str">
        <f aca="false">IF(OR(T76="",N(Z76)=0),"",IF($B76="Short",-1,1)*(T76-H76)*G76/Z76)</f>
        <v/>
      </c>
      <c r="AG76" s="21" t="str">
        <f aca="false">IF(U76&lt;&gt;"Open","",Y76*MAX(0,IF($B76="Short",-1,1)*(H76-IF(K76="",I76,K76))))</f>
        <v/>
      </c>
      <c r="AH76" s="26" t="str">
        <f aca="false">IF(U76&lt;&gt;"Closed","",DATE(YEAR(P76),MONTH(P76),1))</f>
        <v/>
      </c>
      <c r="AI76" s="19" t="str">
        <f aca="false">IF(U76&lt;&gt;"Closed","",COUNTIFS($U$7:$U$506,"Closed",$P$7:$P$506,"&lt;"&amp;P76)+COUNTIFS($U$7:U76,"Closed",$P$7:P76,P76))</f>
        <v/>
      </c>
    </row>
    <row r="77" customFormat="false" ht="15" hidden="false" customHeight="false" outlineLevel="0" collapsed="false">
      <c r="A77" s="13"/>
      <c r="B77" s="14"/>
      <c r="C77" s="14"/>
      <c r="D77" s="14"/>
      <c r="E77" s="15"/>
      <c r="F77" s="15"/>
      <c r="G77" s="16"/>
      <c r="H77" s="17"/>
      <c r="I77" s="17"/>
      <c r="J77" s="17"/>
      <c r="K77" s="17"/>
      <c r="L77" s="16"/>
      <c r="M77" s="17"/>
      <c r="N77" s="16"/>
      <c r="O77" s="17"/>
      <c r="P77" s="15"/>
      <c r="Q77" s="17"/>
      <c r="R77" s="17"/>
      <c r="S77" s="17"/>
      <c r="T77" s="17"/>
      <c r="U77" s="18" t="str">
        <f aca="false">IF(A77="","",IF(N(G77)-N(L77)-N(N77)&lt;0,"Check shares",IF(AND(P77&lt;&gt;"",Q77&lt;&gt;""),"Closed","Open")))</f>
        <v/>
      </c>
      <c r="V77" s="19" t="str">
        <f aca="false">IF(OR(F77="",P77=""),"",NETWORKDAYS(F77,P77,Lists!$F$5:$F$40)-1)</f>
        <v/>
      </c>
      <c r="W77" s="18" t="str">
        <f aca="false">IF(V77="","",IF(V77=0,"Same day","Overnight"))</f>
        <v/>
      </c>
      <c r="X77" s="18" t="str">
        <f aca="false">IF(OR(E77="",F77=""),"",IF(AND(E77&gt;=F77,OR(P77="",E77&lt;=P77)),"Yes","No"))</f>
        <v/>
      </c>
      <c r="Y77" s="20" t="str">
        <f aca="false">IF(A77="","",N(G77)-N(L77)-N(N77))</f>
        <v/>
      </c>
      <c r="Z77" s="21" t="str">
        <f aca="false">IF(OR(G77="",H77="",I77=""),"",ABS(H77-I77)*G77)</f>
        <v/>
      </c>
      <c r="AA77" s="22" t="str">
        <f aca="false">IF(OR(J77="",N(Z77)=0),"",ABS(J77-H77)/ABS(H77-I77))</f>
        <v/>
      </c>
      <c r="AB77" s="23" t="str">
        <f aca="false">IF(U77&lt;&gt;"Closed","",(N(L77)*N(M77)+N(N77)*N(O77)+Y77*Q77)/G77)</f>
        <v/>
      </c>
      <c r="AC77" s="24" t="str">
        <f aca="false">IF(U77&lt;&gt;"Closed","",IF($B77="Short",-1,1)*((N(M77)-H77)*N(L77)+(N(O77)-H77)*N(N77)+(Q77-H77)*Y77)-N(R77))</f>
        <v/>
      </c>
      <c r="AD77" s="25" t="str">
        <f aca="false">IF(OR(AC77="",N(Z77)=0),"",AC77/Z77)</f>
        <v/>
      </c>
      <c r="AE77" s="25" t="str">
        <f aca="false">IF(OR(S77="",N(Z77)=0),"",IF($B77="Short",-1,1)*(S77-H77)*G77/Z77)</f>
        <v/>
      </c>
      <c r="AF77" s="25" t="str">
        <f aca="false">IF(OR(T77="",N(Z77)=0),"",IF($B77="Short",-1,1)*(T77-H77)*G77/Z77)</f>
        <v/>
      </c>
      <c r="AG77" s="21" t="str">
        <f aca="false">IF(U77&lt;&gt;"Open","",Y77*MAX(0,IF($B77="Short",-1,1)*(H77-IF(K77="",I77,K77))))</f>
        <v/>
      </c>
      <c r="AH77" s="26" t="str">
        <f aca="false">IF(U77&lt;&gt;"Closed","",DATE(YEAR(P77),MONTH(P77),1))</f>
        <v/>
      </c>
      <c r="AI77" s="19" t="str">
        <f aca="false">IF(U77&lt;&gt;"Closed","",COUNTIFS($U$7:$U$506,"Closed",$P$7:$P$506,"&lt;"&amp;P77)+COUNTIFS($U$7:U77,"Closed",$P$7:P77,P77))</f>
        <v/>
      </c>
    </row>
    <row r="78" customFormat="false" ht="15" hidden="false" customHeight="false" outlineLevel="0" collapsed="false">
      <c r="A78" s="13"/>
      <c r="B78" s="14"/>
      <c r="C78" s="14"/>
      <c r="D78" s="14"/>
      <c r="E78" s="15"/>
      <c r="F78" s="15"/>
      <c r="G78" s="16"/>
      <c r="H78" s="17"/>
      <c r="I78" s="17"/>
      <c r="J78" s="17"/>
      <c r="K78" s="17"/>
      <c r="L78" s="16"/>
      <c r="M78" s="17"/>
      <c r="N78" s="16"/>
      <c r="O78" s="17"/>
      <c r="P78" s="15"/>
      <c r="Q78" s="17"/>
      <c r="R78" s="17"/>
      <c r="S78" s="17"/>
      <c r="T78" s="17"/>
      <c r="U78" s="18" t="str">
        <f aca="false">IF(A78="","",IF(N(G78)-N(L78)-N(N78)&lt;0,"Check shares",IF(AND(P78&lt;&gt;"",Q78&lt;&gt;""),"Closed","Open")))</f>
        <v/>
      </c>
      <c r="V78" s="19" t="str">
        <f aca="false">IF(OR(F78="",P78=""),"",NETWORKDAYS(F78,P78,Lists!$F$5:$F$40)-1)</f>
        <v/>
      </c>
      <c r="W78" s="18" t="str">
        <f aca="false">IF(V78="","",IF(V78=0,"Same day","Overnight"))</f>
        <v/>
      </c>
      <c r="X78" s="18" t="str">
        <f aca="false">IF(OR(E78="",F78=""),"",IF(AND(E78&gt;=F78,OR(P78="",E78&lt;=P78)),"Yes","No"))</f>
        <v/>
      </c>
      <c r="Y78" s="20" t="str">
        <f aca="false">IF(A78="","",N(G78)-N(L78)-N(N78))</f>
        <v/>
      </c>
      <c r="Z78" s="21" t="str">
        <f aca="false">IF(OR(G78="",H78="",I78=""),"",ABS(H78-I78)*G78)</f>
        <v/>
      </c>
      <c r="AA78" s="22" t="str">
        <f aca="false">IF(OR(J78="",N(Z78)=0),"",ABS(J78-H78)/ABS(H78-I78))</f>
        <v/>
      </c>
      <c r="AB78" s="23" t="str">
        <f aca="false">IF(U78&lt;&gt;"Closed","",(N(L78)*N(M78)+N(N78)*N(O78)+Y78*Q78)/G78)</f>
        <v/>
      </c>
      <c r="AC78" s="24" t="str">
        <f aca="false">IF(U78&lt;&gt;"Closed","",IF($B78="Short",-1,1)*((N(M78)-H78)*N(L78)+(N(O78)-H78)*N(N78)+(Q78-H78)*Y78)-N(R78))</f>
        <v/>
      </c>
      <c r="AD78" s="25" t="str">
        <f aca="false">IF(OR(AC78="",N(Z78)=0),"",AC78/Z78)</f>
        <v/>
      </c>
      <c r="AE78" s="25" t="str">
        <f aca="false">IF(OR(S78="",N(Z78)=0),"",IF($B78="Short",-1,1)*(S78-H78)*G78/Z78)</f>
        <v/>
      </c>
      <c r="AF78" s="25" t="str">
        <f aca="false">IF(OR(T78="",N(Z78)=0),"",IF($B78="Short",-1,1)*(T78-H78)*G78/Z78)</f>
        <v/>
      </c>
      <c r="AG78" s="21" t="str">
        <f aca="false">IF(U78&lt;&gt;"Open","",Y78*MAX(0,IF($B78="Short",-1,1)*(H78-IF(K78="",I78,K78))))</f>
        <v/>
      </c>
      <c r="AH78" s="26" t="str">
        <f aca="false">IF(U78&lt;&gt;"Closed","",DATE(YEAR(P78),MONTH(P78),1))</f>
        <v/>
      </c>
      <c r="AI78" s="19" t="str">
        <f aca="false">IF(U78&lt;&gt;"Closed","",COUNTIFS($U$7:$U$506,"Closed",$P$7:$P$506,"&lt;"&amp;P78)+COUNTIFS($U$7:U78,"Closed",$P$7:P78,P78))</f>
        <v/>
      </c>
    </row>
    <row r="79" customFormat="false" ht="15" hidden="false" customHeight="false" outlineLevel="0" collapsed="false">
      <c r="A79" s="13"/>
      <c r="B79" s="14"/>
      <c r="C79" s="14"/>
      <c r="D79" s="14"/>
      <c r="E79" s="15"/>
      <c r="F79" s="15"/>
      <c r="G79" s="16"/>
      <c r="H79" s="17"/>
      <c r="I79" s="17"/>
      <c r="J79" s="17"/>
      <c r="K79" s="17"/>
      <c r="L79" s="16"/>
      <c r="M79" s="17"/>
      <c r="N79" s="16"/>
      <c r="O79" s="17"/>
      <c r="P79" s="15"/>
      <c r="Q79" s="17"/>
      <c r="R79" s="17"/>
      <c r="S79" s="17"/>
      <c r="T79" s="17"/>
      <c r="U79" s="18" t="str">
        <f aca="false">IF(A79="","",IF(N(G79)-N(L79)-N(N79)&lt;0,"Check shares",IF(AND(P79&lt;&gt;"",Q79&lt;&gt;""),"Closed","Open")))</f>
        <v/>
      </c>
      <c r="V79" s="19" t="str">
        <f aca="false">IF(OR(F79="",P79=""),"",NETWORKDAYS(F79,P79,Lists!$F$5:$F$40)-1)</f>
        <v/>
      </c>
      <c r="W79" s="18" t="str">
        <f aca="false">IF(V79="","",IF(V79=0,"Same day","Overnight"))</f>
        <v/>
      </c>
      <c r="X79" s="18" t="str">
        <f aca="false">IF(OR(E79="",F79=""),"",IF(AND(E79&gt;=F79,OR(P79="",E79&lt;=P79)),"Yes","No"))</f>
        <v/>
      </c>
      <c r="Y79" s="20" t="str">
        <f aca="false">IF(A79="","",N(G79)-N(L79)-N(N79))</f>
        <v/>
      </c>
      <c r="Z79" s="21" t="str">
        <f aca="false">IF(OR(G79="",H79="",I79=""),"",ABS(H79-I79)*G79)</f>
        <v/>
      </c>
      <c r="AA79" s="22" t="str">
        <f aca="false">IF(OR(J79="",N(Z79)=0),"",ABS(J79-H79)/ABS(H79-I79))</f>
        <v/>
      </c>
      <c r="AB79" s="23" t="str">
        <f aca="false">IF(U79&lt;&gt;"Closed","",(N(L79)*N(M79)+N(N79)*N(O79)+Y79*Q79)/G79)</f>
        <v/>
      </c>
      <c r="AC79" s="24" t="str">
        <f aca="false">IF(U79&lt;&gt;"Closed","",IF($B79="Short",-1,1)*((N(M79)-H79)*N(L79)+(N(O79)-H79)*N(N79)+(Q79-H79)*Y79)-N(R79))</f>
        <v/>
      </c>
      <c r="AD79" s="25" t="str">
        <f aca="false">IF(OR(AC79="",N(Z79)=0),"",AC79/Z79)</f>
        <v/>
      </c>
      <c r="AE79" s="25" t="str">
        <f aca="false">IF(OR(S79="",N(Z79)=0),"",IF($B79="Short",-1,1)*(S79-H79)*G79/Z79)</f>
        <v/>
      </c>
      <c r="AF79" s="25" t="str">
        <f aca="false">IF(OR(T79="",N(Z79)=0),"",IF($B79="Short",-1,1)*(T79-H79)*G79/Z79)</f>
        <v/>
      </c>
      <c r="AG79" s="21" t="str">
        <f aca="false">IF(U79&lt;&gt;"Open","",Y79*MAX(0,IF($B79="Short",-1,1)*(H79-IF(K79="",I79,K79))))</f>
        <v/>
      </c>
      <c r="AH79" s="26" t="str">
        <f aca="false">IF(U79&lt;&gt;"Closed","",DATE(YEAR(P79),MONTH(P79),1))</f>
        <v/>
      </c>
      <c r="AI79" s="19" t="str">
        <f aca="false">IF(U79&lt;&gt;"Closed","",COUNTIFS($U$7:$U$506,"Closed",$P$7:$P$506,"&lt;"&amp;P79)+COUNTIFS($U$7:U79,"Closed",$P$7:P79,P79))</f>
        <v/>
      </c>
    </row>
    <row r="80" customFormat="false" ht="15" hidden="false" customHeight="false" outlineLevel="0" collapsed="false">
      <c r="A80" s="13"/>
      <c r="B80" s="14"/>
      <c r="C80" s="14"/>
      <c r="D80" s="14"/>
      <c r="E80" s="15"/>
      <c r="F80" s="15"/>
      <c r="G80" s="16"/>
      <c r="H80" s="17"/>
      <c r="I80" s="17"/>
      <c r="J80" s="17"/>
      <c r="K80" s="17"/>
      <c r="L80" s="16"/>
      <c r="M80" s="17"/>
      <c r="N80" s="16"/>
      <c r="O80" s="17"/>
      <c r="P80" s="15"/>
      <c r="Q80" s="17"/>
      <c r="R80" s="17"/>
      <c r="S80" s="17"/>
      <c r="T80" s="17"/>
      <c r="U80" s="18" t="str">
        <f aca="false">IF(A80="","",IF(N(G80)-N(L80)-N(N80)&lt;0,"Check shares",IF(AND(P80&lt;&gt;"",Q80&lt;&gt;""),"Closed","Open")))</f>
        <v/>
      </c>
      <c r="V80" s="19" t="str">
        <f aca="false">IF(OR(F80="",P80=""),"",NETWORKDAYS(F80,P80,Lists!$F$5:$F$40)-1)</f>
        <v/>
      </c>
      <c r="W80" s="18" t="str">
        <f aca="false">IF(V80="","",IF(V80=0,"Same day","Overnight"))</f>
        <v/>
      </c>
      <c r="X80" s="18" t="str">
        <f aca="false">IF(OR(E80="",F80=""),"",IF(AND(E80&gt;=F80,OR(P80="",E80&lt;=P80)),"Yes","No"))</f>
        <v/>
      </c>
      <c r="Y80" s="20" t="str">
        <f aca="false">IF(A80="","",N(G80)-N(L80)-N(N80))</f>
        <v/>
      </c>
      <c r="Z80" s="21" t="str">
        <f aca="false">IF(OR(G80="",H80="",I80=""),"",ABS(H80-I80)*G80)</f>
        <v/>
      </c>
      <c r="AA80" s="22" t="str">
        <f aca="false">IF(OR(J80="",N(Z80)=0),"",ABS(J80-H80)/ABS(H80-I80))</f>
        <v/>
      </c>
      <c r="AB80" s="23" t="str">
        <f aca="false">IF(U80&lt;&gt;"Closed","",(N(L80)*N(M80)+N(N80)*N(O80)+Y80*Q80)/G80)</f>
        <v/>
      </c>
      <c r="AC80" s="24" t="str">
        <f aca="false">IF(U80&lt;&gt;"Closed","",IF($B80="Short",-1,1)*((N(M80)-H80)*N(L80)+(N(O80)-H80)*N(N80)+(Q80-H80)*Y80)-N(R80))</f>
        <v/>
      </c>
      <c r="AD80" s="25" t="str">
        <f aca="false">IF(OR(AC80="",N(Z80)=0),"",AC80/Z80)</f>
        <v/>
      </c>
      <c r="AE80" s="25" t="str">
        <f aca="false">IF(OR(S80="",N(Z80)=0),"",IF($B80="Short",-1,1)*(S80-H80)*G80/Z80)</f>
        <v/>
      </c>
      <c r="AF80" s="25" t="str">
        <f aca="false">IF(OR(T80="",N(Z80)=0),"",IF($B80="Short",-1,1)*(T80-H80)*G80/Z80)</f>
        <v/>
      </c>
      <c r="AG80" s="21" t="str">
        <f aca="false">IF(U80&lt;&gt;"Open","",Y80*MAX(0,IF($B80="Short",-1,1)*(H80-IF(K80="",I80,K80))))</f>
        <v/>
      </c>
      <c r="AH80" s="26" t="str">
        <f aca="false">IF(U80&lt;&gt;"Closed","",DATE(YEAR(P80),MONTH(P80),1))</f>
        <v/>
      </c>
      <c r="AI80" s="19" t="str">
        <f aca="false">IF(U80&lt;&gt;"Closed","",COUNTIFS($U$7:$U$506,"Closed",$P$7:$P$506,"&lt;"&amp;P80)+COUNTIFS($U$7:U80,"Closed",$P$7:P80,P80))</f>
        <v/>
      </c>
    </row>
    <row r="81" customFormat="false" ht="15" hidden="false" customHeight="false" outlineLevel="0" collapsed="false">
      <c r="A81" s="13"/>
      <c r="B81" s="14"/>
      <c r="C81" s="14"/>
      <c r="D81" s="14"/>
      <c r="E81" s="15"/>
      <c r="F81" s="15"/>
      <c r="G81" s="16"/>
      <c r="H81" s="17"/>
      <c r="I81" s="17"/>
      <c r="J81" s="17"/>
      <c r="K81" s="17"/>
      <c r="L81" s="16"/>
      <c r="M81" s="17"/>
      <c r="N81" s="16"/>
      <c r="O81" s="17"/>
      <c r="P81" s="15"/>
      <c r="Q81" s="17"/>
      <c r="R81" s="17"/>
      <c r="S81" s="17"/>
      <c r="T81" s="17"/>
      <c r="U81" s="18" t="str">
        <f aca="false">IF(A81="","",IF(N(G81)-N(L81)-N(N81)&lt;0,"Check shares",IF(AND(P81&lt;&gt;"",Q81&lt;&gt;""),"Closed","Open")))</f>
        <v/>
      </c>
      <c r="V81" s="19" t="str">
        <f aca="false">IF(OR(F81="",P81=""),"",NETWORKDAYS(F81,P81,Lists!$F$5:$F$40)-1)</f>
        <v/>
      </c>
      <c r="W81" s="18" t="str">
        <f aca="false">IF(V81="","",IF(V81=0,"Same day","Overnight"))</f>
        <v/>
      </c>
      <c r="X81" s="18" t="str">
        <f aca="false">IF(OR(E81="",F81=""),"",IF(AND(E81&gt;=F81,OR(P81="",E81&lt;=P81)),"Yes","No"))</f>
        <v/>
      </c>
      <c r="Y81" s="20" t="str">
        <f aca="false">IF(A81="","",N(G81)-N(L81)-N(N81))</f>
        <v/>
      </c>
      <c r="Z81" s="21" t="str">
        <f aca="false">IF(OR(G81="",H81="",I81=""),"",ABS(H81-I81)*G81)</f>
        <v/>
      </c>
      <c r="AA81" s="22" t="str">
        <f aca="false">IF(OR(J81="",N(Z81)=0),"",ABS(J81-H81)/ABS(H81-I81))</f>
        <v/>
      </c>
      <c r="AB81" s="23" t="str">
        <f aca="false">IF(U81&lt;&gt;"Closed","",(N(L81)*N(M81)+N(N81)*N(O81)+Y81*Q81)/G81)</f>
        <v/>
      </c>
      <c r="AC81" s="24" t="str">
        <f aca="false">IF(U81&lt;&gt;"Closed","",IF($B81="Short",-1,1)*((N(M81)-H81)*N(L81)+(N(O81)-H81)*N(N81)+(Q81-H81)*Y81)-N(R81))</f>
        <v/>
      </c>
      <c r="AD81" s="25" t="str">
        <f aca="false">IF(OR(AC81="",N(Z81)=0),"",AC81/Z81)</f>
        <v/>
      </c>
      <c r="AE81" s="25" t="str">
        <f aca="false">IF(OR(S81="",N(Z81)=0),"",IF($B81="Short",-1,1)*(S81-H81)*G81/Z81)</f>
        <v/>
      </c>
      <c r="AF81" s="25" t="str">
        <f aca="false">IF(OR(T81="",N(Z81)=0),"",IF($B81="Short",-1,1)*(T81-H81)*G81/Z81)</f>
        <v/>
      </c>
      <c r="AG81" s="21" t="str">
        <f aca="false">IF(U81&lt;&gt;"Open","",Y81*MAX(0,IF($B81="Short",-1,1)*(H81-IF(K81="",I81,K81))))</f>
        <v/>
      </c>
      <c r="AH81" s="26" t="str">
        <f aca="false">IF(U81&lt;&gt;"Closed","",DATE(YEAR(P81),MONTH(P81),1))</f>
        <v/>
      </c>
      <c r="AI81" s="19" t="str">
        <f aca="false">IF(U81&lt;&gt;"Closed","",COUNTIFS($U$7:$U$506,"Closed",$P$7:$P$506,"&lt;"&amp;P81)+COUNTIFS($U$7:U81,"Closed",$P$7:P81,P81))</f>
        <v/>
      </c>
    </row>
    <row r="82" customFormat="false" ht="15" hidden="false" customHeight="false" outlineLevel="0" collapsed="false">
      <c r="A82" s="13"/>
      <c r="B82" s="14"/>
      <c r="C82" s="14"/>
      <c r="D82" s="14"/>
      <c r="E82" s="15"/>
      <c r="F82" s="15"/>
      <c r="G82" s="16"/>
      <c r="H82" s="17"/>
      <c r="I82" s="17"/>
      <c r="J82" s="17"/>
      <c r="K82" s="17"/>
      <c r="L82" s="16"/>
      <c r="M82" s="17"/>
      <c r="N82" s="16"/>
      <c r="O82" s="17"/>
      <c r="P82" s="15"/>
      <c r="Q82" s="17"/>
      <c r="R82" s="17"/>
      <c r="S82" s="17"/>
      <c r="T82" s="17"/>
      <c r="U82" s="18" t="str">
        <f aca="false">IF(A82="","",IF(N(G82)-N(L82)-N(N82)&lt;0,"Check shares",IF(AND(P82&lt;&gt;"",Q82&lt;&gt;""),"Closed","Open")))</f>
        <v/>
      </c>
      <c r="V82" s="19" t="str">
        <f aca="false">IF(OR(F82="",P82=""),"",NETWORKDAYS(F82,P82,Lists!$F$5:$F$40)-1)</f>
        <v/>
      </c>
      <c r="W82" s="18" t="str">
        <f aca="false">IF(V82="","",IF(V82=0,"Same day","Overnight"))</f>
        <v/>
      </c>
      <c r="X82" s="18" t="str">
        <f aca="false">IF(OR(E82="",F82=""),"",IF(AND(E82&gt;=F82,OR(P82="",E82&lt;=P82)),"Yes","No"))</f>
        <v/>
      </c>
      <c r="Y82" s="20" t="str">
        <f aca="false">IF(A82="","",N(G82)-N(L82)-N(N82))</f>
        <v/>
      </c>
      <c r="Z82" s="21" t="str">
        <f aca="false">IF(OR(G82="",H82="",I82=""),"",ABS(H82-I82)*G82)</f>
        <v/>
      </c>
      <c r="AA82" s="22" t="str">
        <f aca="false">IF(OR(J82="",N(Z82)=0),"",ABS(J82-H82)/ABS(H82-I82))</f>
        <v/>
      </c>
      <c r="AB82" s="23" t="str">
        <f aca="false">IF(U82&lt;&gt;"Closed","",(N(L82)*N(M82)+N(N82)*N(O82)+Y82*Q82)/G82)</f>
        <v/>
      </c>
      <c r="AC82" s="24" t="str">
        <f aca="false">IF(U82&lt;&gt;"Closed","",IF($B82="Short",-1,1)*((N(M82)-H82)*N(L82)+(N(O82)-H82)*N(N82)+(Q82-H82)*Y82)-N(R82))</f>
        <v/>
      </c>
      <c r="AD82" s="25" t="str">
        <f aca="false">IF(OR(AC82="",N(Z82)=0),"",AC82/Z82)</f>
        <v/>
      </c>
      <c r="AE82" s="25" t="str">
        <f aca="false">IF(OR(S82="",N(Z82)=0),"",IF($B82="Short",-1,1)*(S82-H82)*G82/Z82)</f>
        <v/>
      </c>
      <c r="AF82" s="25" t="str">
        <f aca="false">IF(OR(T82="",N(Z82)=0),"",IF($B82="Short",-1,1)*(T82-H82)*G82/Z82)</f>
        <v/>
      </c>
      <c r="AG82" s="21" t="str">
        <f aca="false">IF(U82&lt;&gt;"Open","",Y82*MAX(0,IF($B82="Short",-1,1)*(H82-IF(K82="",I82,K82))))</f>
        <v/>
      </c>
      <c r="AH82" s="26" t="str">
        <f aca="false">IF(U82&lt;&gt;"Closed","",DATE(YEAR(P82),MONTH(P82),1))</f>
        <v/>
      </c>
      <c r="AI82" s="19" t="str">
        <f aca="false">IF(U82&lt;&gt;"Closed","",COUNTIFS($U$7:$U$506,"Closed",$P$7:$P$506,"&lt;"&amp;P82)+COUNTIFS($U$7:U82,"Closed",$P$7:P82,P82))</f>
        <v/>
      </c>
    </row>
    <row r="83" customFormat="false" ht="15" hidden="false" customHeight="false" outlineLevel="0" collapsed="false">
      <c r="A83" s="13"/>
      <c r="B83" s="14"/>
      <c r="C83" s="14"/>
      <c r="D83" s="14"/>
      <c r="E83" s="15"/>
      <c r="F83" s="15"/>
      <c r="G83" s="16"/>
      <c r="H83" s="17"/>
      <c r="I83" s="17"/>
      <c r="J83" s="17"/>
      <c r="K83" s="17"/>
      <c r="L83" s="16"/>
      <c r="M83" s="17"/>
      <c r="N83" s="16"/>
      <c r="O83" s="17"/>
      <c r="P83" s="15"/>
      <c r="Q83" s="17"/>
      <c r="R83" s="17"/>
      <c r="S83" s="17"/>
      <c r="T83" s="17"/>
      <c r="U83" s="18" t="str">
        <f aca="false">IF(A83="","",IF(N(G83)-N(L83)-N(N83)&lt;0,"Check shares",IF(AND(P83&lt;&gt;"",Q83&lt;&gt;""),"Closed","Open")))</f>
        <v/>
      </c>
      <c r="V83" s="19" t="str">
        <f aca="false">IF(OR(F83="",P83=""),"",NETWORKDAYS(F83,P83,Lists!$F$5:$F$40)-1)</f>
        <v/>
      </c>
      <c r="W83" s="18" t="str">
        <f aca="false">IF(V83="","",IF(V83=0,"Same day","Overnight"))</f>
        <v/>
      </c>
      <c r="X83" s="18" t="str">
        <f aca="false">IF(OR(E83="",F83=""),"",IF(AND(E83&gt;=F83,OR(P83="",E83&lt;=P83)),"Yes","No"))</f>
        <v/>
      </c>
      <c r="Y83" s="20" t="str">
        <f aca="false">IF(A83="","",N(G83)-N(L83)-N(N83))</f>
        <v/>
      </c>
      <c r="Z83" s="21" t="str">
        <f aca="false">IF(OR(G83="",H83="",I83=""),"",ABS(H83-I83)*G83)</f>
        <v/>
      </c>
      <c r="AA83" s="22" t="str">
        <f aca="false">IF(OR(J83="",N(Z83)=0),"",ABS(J83-H83)/ABS(H83-I83))</f>
        <v/>
      </c>
      <c r="AB83" s="23" t="str">
        <f aca="false">IF(U83&lt;&gt;"Closed","",(N(L83)*N(M83)+N(N83)*N(O83)+Y83*Q83)/G83)</f>
        <v/>
      </c>
      <c r="AC83" s="24" t="str">
        <f aca="false">IF(U83&lt;&gt;"Closed","",IF($B83="Short",-1,1)*((N(M83)-H83)*N(L83)+(N(O83)-H83)*N(N83)+(Q83-H83)*Y83)-N(R83))</f>
        <v/>
      </c>
      <c r="AD83" s="25" t="str">
        <f aca="false">IF(OR(AC83="",N(Z83)=0),"",AC83/Z83)</f>
        <v/>
      </c>
      <c r="AE83" s="25" t="str">
        <f aca="false">IF(OR(S83="",N(Z83)=0),"",IF($B83="Short",-1,1)*(S83-H83)*G83/Z83)</f>
        <v/>
      </c>
      <c r="AF83" s="25" t="str">
        <f aca="false">IF(OR(T83="",N(Z83)=0),"",IF($B83="Short",-1,1)*(T83-H83)*G83/Z83)</f>
        <v/>
      </c>
      <c r="AG83" s="21" t="str">
        <f aca="false">IF(U83&lt;&gt;"Open","",Y83*MAX(0,IF($B83="Short",-1,1)*(H83-IF(K83="",I83,K83))))</f>
        <v/>
      </c>
      <c r="AH83" s="26" t="str">
        <f aca="false">IF(U83&lt;&gt;"Closed","",DATE(YEAR(P83),MONTH(P83),1))</f>
        <v/>
      </c>
      <c r="AI83" s="19" t="str">
        <f aca="false">IF(U83&lt;&gt;"Closed","",COUNTIFS($U$7:$U$506,"Closed",$P$7:$P$506,"&lt;"&amp;P83)+COUNTIFS($U$7:U83,"Closed",$P$7:P83,P83))</f>
        <v/>
      </c>
    </row>
    <row r="84" customFormat="false" ht="15" hidden="false" customHeight="false" outlineLevel="0" collapsed="false">
      <c r="A84" s="13"/>
      <c r="B84" s="14"/>
      <c r="C84" s="14"/>
      <c r="D84" s="14"/>
      <c r="E84" s="15"/>
      <c r="F84" s="15"/>
      <c r="G84" s="16"/>
      <c r="H84" s="17"/>
      <c r="I84" s="17"/>
      <c r="J84" s="17"/>
      <c r="K84" s="17"/>
      <c r="L84" s="16"/>
      <c r="M84" s="17"/>
      <c r="N84" s="16"/>
      <c r="O84" s="17"/>
      <c r="P84" s="15"/>
      <c r="Q84" s="17"/>
      <c r="R84" s="17"/>
      <c r="S84" s="17"/>
      <c r="T84" s="17"/>
      <c r="U84" s="18" t="str">
        <f aca="false">IF(A84="","",IF(N(G84)-N(L84)-N(N84)&lt;0,"Check shares",IF(AND(P84&lt;&gt;"",Q84&lt;&gt;""),"Closed","Open")))</f>
        <v/>
      </c>
      <c r="V84" s="19" t="str">
        <f aca="false">IF(OR(F84="",P84=""),"",NETWORKDAYS(F84,P84,Lists!$F$5:$F$40)-1)</f>
        <v/>
      </c>
      <c r="W84" s="18" t="str">
        <f aca="false">IF(V84="","",IF(V84=0,"Same day","Overnight"))</f>
        <v/>
      </c>
      <c r="X84" s="18" t="str">
        <f aca="false">IF(OR(E84="",F84=""),"",IF(AND(E84&gt;=F84,OR(P84="",E84&lt;=P84)),"Yes","No"))</f>
        <v/>
      </c>
      <c r="Y84" s="20" t="str">
        <f aca="false">IF(A84="","",N(G84)-N(L84)-N(N84))</f>
        <v/>
      </c>
      <c r="Z84" s="21" t="str">
        <f aca="false">IF(OR(G84="",H84="",I84=""),"",ABS(H84-I84)*G84)</f>
        <v/>
      </c>
      <c r="AA84" s="22" t="str">
        <f aca="false">IF(OR(J84="",N(Z84)=0),"",ABS(J84-H84)/ABS(H84-I84))</f>
        <v/>
      </c>
      <c r="AB84" s="23" t="str">
        <f aca="false">IF(U84&lt;&gt;"Closed","",(N(L84)*N(M84)+N(N84)*N(O84)+Y84*Q84)/G84)</f>
        <v/>
      </c>
      <c r="AC84" s="24" t="str">
        <f aca="false">IF(U84&lt;&gt;"Closed","",IF($B84="Short",-1,1)*((N(M84)-H84)*N(L84)+(N(O84)-H84)*N(N84)+(Q84-H84)*Y84)-N(R84))</f>
        <v/>
      </c>
      <c r="AD84" s="25" t="str">
        <f aca="false">IF(OR(AC84="",N(Z84)=0),"",AC84/Z84)</f>
        <v/>
      </c>
      <c r="AE84" s="25" t="str">
        <f aca="false">IF(OR(S84="",N(Z84)=0),"",IF($B84="Short",-1,1)*(S84-H84)*G84/Z84)</f>
        <v/>
      </c>
      <c r="AF84" s="25" t="str">
        <f aca="false">IF(OR(T84="",N(Z84)=0),"",IF($B84="Short",-1,1)*(T84-H84)*G84/Z84)</f>
        <v/>
      </c>
      <c r="AG84" s="21" t="str">
        <f aca="false">IF(U84&lt;&gt;"Open","",Y84*MAX(0,IF($B84="Short",-1,1)*(H84-IF(K84="",I84,K84))))</f>
        <v/>
      </c>
      <c r="AH84" s="26" t="str">
        <f aca="false">IF(U84&lt;&gt;"Closed","",DATE(YEAR(P84),MONTH(P84),1))</f>
        <v/>
      </c>
      <c r="AI84" s="19" t="str">
        <f aca="false">IF(U84&lt;&gt;"Closed","",COUNTIFS($U$7:$U$506,"Closed",$P$7:$P$506,"&lt;"&amp;P84)+COUNTIFS($U$7:U84,"Closed",$P$7:P84,P84))</f>
        <v/>
      </c>
    </row>
    <row r="85" customFormat="false" ht="15" hidden="false" customHeight="false" outlineLevel="0" collapsed="false">
      <c r="A85" s="13"/>
      <c r="B85" s="14"/>
      <c r="C85" s="14"/>
      <c r="D85" s="14"/>
      <c r="E85" s="15"/>
      <c r="F85" s="15"/>
      <c r="G85" s="16"/>
      <c r="H85" s="17"/>
      <c r="I85" s="17"/>
      <c r="J85" s="17"/>
      <c r="K85" s="17"/>
      <c r="L85" s="16"/>
      <c r="M85" s="17"/>
      <c r="N85" s="16"/>
      <c r="O85" s="17"/>
      <c r="P85" s="15"/>
      <c r="Q85" s="17"/>
      <c r="R85" s="17"/>
      <c r="S85" s="17"/>
      <c r="T85" s="17"/>
      <c r="U85" s="18" t="str">
        <f aca="false">IF(A85="","",IF(N(G85)-N(L85)-N(N85)&lt;0,"Check shares",IF(AND(P85&lt;&gt;"",Q85&lt;&gt;""),"Closed","Open")))</f>
        <v/>
      </c>
      <c r="V85" s="19" t="str">
        <f aca="false">IF(OR(F85="",P85=""),"",NETWORKDAYS(F85,P85,Lists!$F$5:$F$40)-1)</f>
        <v/>
      </c>
      <c r="W85" s="18" t="str">
        <f aca="false">IF(V85="","",IF(V85=0,"Same day","Overnight"))</f>
        <v/>
      </c>
      <c r="X85" s="18" t="str">
        <f aca="false">IF(OR(E85="",F85=""),"",IF(AND(E85&gt;=F85,OR(P85="",E85&lt;=P85)),"Yes","No"))</f>
        <v/>
      </c>
      <c r="Y85" s="20" t="str">
        <f aca="false">IF(A85="","",N(G85)-N(L85)-N(N85))</f>
        <v/>
      </c>
      <c r="Z85" s="21" t="str">
        <f aca="false">IF(OR(G85="",H85="",I85=""),"",ABS(H85-I85)*G85)</f>
        <v/>
      </c>
      <c r="AA85" s="22" t="str">
        <f aca="false">IF(OR(J85="",N(Z85)=0),"",ABS(J85-H85)/ABS(H85-I85))</f>
        <v/>
      </c>
      <c r="AB85" s="23" t="str">
        <f aca="false">IF(U85&lt;&gt;"Closed","",(N(L85)*N(M85)+N(N85)*N(O85)+Y85*Q85)/G85)</f>
        <v/>
      </c>
      <c r="AC85" s="24" t="str">
        <f aca="false">IF(U85&lt;&gt;"Closed","",IF($B85="Short",-1,1)*((N(M85)-H85)*N(L85)+(N(O85)-H85)*N(N85)+(Q85-H85)*Y85)-N(R85))</f>
        <v/>
      </c>
      <c r="AD85" s="25" t="str">
        <f aca="false">IF(OR(AC85="",N(Z85)=0),"",AC85/Z85)</f>
        <v/>
      </c>
      <c r="AE85" s="25" t="str">
        <f aca="false">IF(OR(S85="",N(Z85)=0),"",IF($B85="Short",-1,1)*(S85-H85)*G85/Z85)</f>
        <v/>
      </c>
      <c r="AF85" s="25" t="str">
        <f aca="false">IF(OR(T85="",N(Z85)=0),"",IF($B85="Short",-1,1)*(T85-H85)*G85/Z85)</f>
        <v/>
      </c>
      <c r="AG85" s="21" t="str">
        <f aca="false">IF(U85&lt;&gt;"Open","",Y85*MAX(0,IF($B85="Short",-1,1)*(H85-IF(K85="",I85,K85))))</f>
        <v/>
      </c>
      <c r="AH85" s="26" t="str">
        <f aca="false">IF(U85&lt;&gt;"Closed","",DATE(YEAR(P85),MONTH(P85),1))</f>
        <v/>
      </c>
      <c r="AI85" s="19" t="str">
        <f aca="false">IF(U85&lt;&gt;"Closed","",COUNTIFS($U$7:$U$506,"Closed",$P$7:$P$506,"&lt;"&amp;P85)+COUNTIFS($U$7:U85,"Closed",$P$7:P85,P85))</f>
        <v/>
      </c>
    </row>
    <row r="86" customFormat="false" ht="15" hidden="false" customHeight="false" outlineLevel="0" collapsed="false">
      <c r="A86" s="13"/>
      <c r="B86" s="14"/>
      <c r="C86" s="14"/>
      <c r="D86" s="14"/>
      <c r="E86" s="15"/>
      <c r="F86" s="15"/>
      <c r="G86" s="16"/>
      <c r="H86" s="17"/>
      <c r="I86" s="17"/>
      <c r="J86" s="17"/>
      <c r="K86" s="17"/>
      <c r="L86" s="16"/>
      <c r="M86" s="17"/>
      <c r="N86" s="16"/>
      <c r="O86" s="17"/>
      <c r="P86" s="15"/>
      <c r="Q86" s="17"/>
      <c r="R86" s="17"/>
      <c r="S86" s="17"/>
      <c r="T86" s="17"/>
      <c r="U86" s="18" t="str">
        <f aca="false">IF(A86="","",IF(N(G86)-N(L86)-N(N86)&lt;0,"Check shares",IF(AND(P86&lt;&gt;"",Q86&lt;&gt;""),"Closed","Open")))</f>
        <v/>
      </c>
      <c r="V86" s="19" t="str">
        <f aca="false">IF(OR(F86="",P86=""),"",NETWORKDAYS(F86,P86,Lists!$F$5:$F$40)-1)</f>
        <v/>
      </c>
      <c r="W86" s="18" t="str">
        <f aca="false">IF(V86="","",IF(V86=0,"Same day","Overnight"))</f>
        <v/>
      </c>
      <c r="X86" s="18" t="str">
        <f aca="false">IF(OR(E86="",F86=""),"",IF(AND(E86&gt;=F86,OR(P86="",E86&lt;=P86)),"Yes","No"))</f>
        <v/>
      </c>
      <c r="Y86" s="20" t="str">
        <f aca="false">IF(A86="","",N(G86)-N(L86)-N(N86))</f>
        <v/>
      </c>
      <c r="Z86" s="21" t="str">
        <f aca="false">IF(OR(G86="",H86="",I86=""),"",ABS(H86-I86)*G86)</f>
        <v/>
      </c>
      <c r="AA86" s="22" t="str">
        <f aca="false">IF(OR(J86="",N(Z86)=0),"",ABS(J86-H86)/ABS(H86-I86))</f>
        <v/>
      </c>
      <c r="AB86" s="23" t="str">
        <f aca="false">IF(U86&lt;&gt;"Closed","",(N(L86)*N(M86)+N(N86)*N(O86)+Y86*Q86)/G86)</f>
        <v/>
      </c>
      <c r="AC86" s="24" t="str">
        <f aca="false">IF(U86&lt;&gt;"Closed","",IF($B86="Short",-1,1)*((N(M86)-H86)*N(L86)+(N(O86)-H86)*N(N86)+(Q86-H86)*Y86)-N(R86))</f>
        <v/>
      </c>
      <c r="AD86" s="25" t="str">
        <f aca="false">IF(OR(AC86="",N(Z86)=0),"",AC86/Z86)</f>
        <v/>
      </c>
      <c r="AE86" s="25" t="str">
        <f aca="false">IF(OR(S86="",N(Z86)=0),"",IF($B86="Short",-1,1)*(S86-H86)*G86/Z86)</f>
        <v/>
      </c>
      <c r="AF86" s="25" t="str">
        <f aca="false">IF(OR(T86="",N(Z86)=0),"",IF($B86="Short",-1,1)*(T86-H86)*G86/Z86)</f>
        <v/>
      </c>
      <c r="AG86" s="21" t="str">
        <f aca="false">IF(U86&lt;&gt;"Open","",Y86*MAX(0,IF($B86="Short",-1,1)*(H86-IF(K86="",I86,K86))))</f>
        <v/>
      </c>
      <c r="AH86" s="26" t="str">
        <f aca="false">IF(U86&lt;&gt;"Closed","",DATE(YEAR(P86),MONTH(P86),1))</f>
        <v/>
      </c>
      <c r="AI86" s="19" t="str">
        <f aca="false">IF(U86&lt;&gt;"Closed","",COUNTIFS($U$7:$U$506,"Closed",$P$7:$P$506,"&lt;"&amp;P86)+COUNTIFS($U$7:U86,"Closed",$P$7:P86,P86))</f>
        <v/>
      </c>
    </row>
    <row r="87" customFormat="false" ht="15" hidden="false" customHeight="false" outlineLevel="0" collapsed="false">
      <c r="A87" s="13"/>
      <c r="B87" s="14"/>
      <c r="C87" s="14"/>
      <c r="D87" s="14"/>
      <c r="E87" s="15"/>
      <c r="F87" s="15"/>
      <c r="G87" s="16"/>
      <c r="H87" s="17"/>
      <c r="I87" s="17"/>
      <c r="J87" s="17"/>
      <c r="K87" s="17"/>
      <c r="L87" s="16"/>
      <c r="M87" s="17"/>
      <c r="N87" s="16"/>
      <c r="O87" s="17"/>
      <c r="P87" s="15"/>
      <c r="Q87" s="17"/>
      <c r="R87" s="17"/>
      <c r="S87" s="17"/>
      <c r="T87" s="17"/>
      <c r="U87" s="18" t="str">
        <f aca="false">IF(A87="","",IF(N(G87)-N(L87)-N(N87)&lt;0,"Check shares",IF(AND(P87&lt;&gt;"",Q87&lt;&gt;""),"Closed","Open")))</f>
        <v/>
      </c>
      <c r="V87" s="19" t="str">
        <f aca="false">IF(OR(F87="",P87=""),"",NETWORKDAYS(F87,P87,Lists!$F$5:$F$40)-1)</f>
        <v/>
      </c>
      <c r="W87" s="18" t="str">
        <f aca="false">IF(V87="","",IF(V87=0,"Same day","Overnight"))</f>
        <v/>
      </c>
      <c r="X87" s="18" t="str">
        <f aca="false">IF(OR(E87="",F87=""),"",IF(AND(E87&gt;=F87,OR(P87="",E87&lt;=P87)),"Yes","No"))</f>
        <v/>
      </c>
      <c r="Y87" s="20" t="str">
        <f aca="false">IF(A87="","",N(G87)-N(L87)-N(N87))</f>
        <v/>
      </c>
      <c r="Z87" s="21" t="str">
        <f aca="false">IF(OR(G87="",H87="",I87=""),"",ABS(H87-I87)*G87)</f>
        <v/>
      </c>
      <c r="AA87" s="22" t="str">
        <f aca="false">IF(OR(J87="",N(Z87)=0),"",ABS(J87-H87)/ABS(H87-I87))</f>
        <v/>
      </c>
      <c r="AB87" s="23" t="str">
        <f aca="false">IF(U87&lt;&gt;"Closed","",(N(L87)*N(M87)+N(N87)*N(O87)+Y87*Q87)/G87)</f>
        <v/>
      </c>
      <c r="AC87" s="24" t="str">
        <f aca="false">IF(U87&lt;&gt;"Closed","",IF($B87="Short",-1,1)*((N(M87)-H87)*N(L87)+(N(O87)-H87)*N(N87)+(Q87-H87)*Y87)-N(R87))</f>
        <v/>
      </c>
      <c r="AD87" s="25" t="str">
        <f aca="false">IF(OR(AC87="",N(Z87)=0),"",AC87/Z87)</f>
        <v/>
      </c>
      <c r="AE87" s="25" t="str">
        <f aca="false">IF(OR(S87="",N(Z87)=0),"",IF($B87="Short",-1,1)*(S87-H87)*G87/Z87)</f>
        <v/>
      </c>
      <c r="AF87" s="25" t="str">
        <f aca="false">IF(OR(T87="",N(Z87)=0),"",IF($B87="Short",-1,1)*(T87-H87)*G87/Z87)</f>
        <v/>
      </c>
      <c r="AG87" s="21" t="str">
        <f aca="false">IF(U87&lt;&gt;"Open","",Y87*MAX(0,IF($B87="Short",-1,1)*(H87-IF(K87="",I87,K87))))</f>
        <v/>
      </c>
      <c r="AH87" s="26" t="str">
        <f aca="false">IF(U87&lt;&gt;"Closed","",DATE(YEAR(P87),MONTH(P87),1))</f>
        <v/>
      </c>
      <c r="AI87" s="19" t="str">
        <f aca="false">IF(U87&lt;&gt;"Closed","",COUNTIFS($U$7:$U$506,"Closed",$P$7:$P$506,"&lt;"&amp;P87)+COUNTIFS($U$7:U87,"Closed",$P$7:P87,P87))</f>
        <v/>
      </c>
    </row>
    <row r="88" customFormat="false" ht="15" hidden="false" customHeight="false" outlineLevel="0" collapsed="false">
      <c r="A88" s="13"/>
      <c r="B88" s="14"/>
      <c r="C88" s="14"/>
      <c r="D88" s="14"/>
      <c r="E88" s="15"/>
      <c r="F88" s="15"/>
      <c r="G88" s="16"/>
      <c r="H88" s="17"/>
      <c r="I88" s="17"/>
      <c r="J88" s="17"/>
      <c r="K88" s="17"/>
      <c r="L88" s="16"/>
      <c r="M88" s="17"/>
      <c r="N88" s="16"/>
      <c r="O88" s="17"/>
      <c r="P88" s="15"/>
      <c r="Q88" s="17"/>
      <c r="R88" s="17"/>
      <c r="S88" s="17"/>
      <c r="T88" s="17"/>
      <c r="U88" s="18" t="str">
        <f aca="false">IF(A88="","",IF(N(G88)-N(L88)-N(N88)&lt;0,"Check shares",IF(AND(P88&lt;&gt;"",Q88&lt;&gt;""),"Closed","Open")))</f>
        <v/>
      </c>
      <c r="V88" s="19" t="str">
        <f aca="false">IF(OR(F88="",P88=""),"",NETWORKDAYS(F88,P88,Lists!$F$5:$F$40)-1)</f>
        <v/>
      </c>
      <c r="W88" s="18" t="str">
        <f aca="false">IF(V88="","",IF(V88=0,"Same day","Overnight"))</f>
        <v/>
      </c>
      <c r="X88" s="18" t="str">
        <f aca="false">IF(OR(E88="",F88=""),"",IF(AND(E88&gt;=F88,OR(P88="",E88&lt;=P88)),"Yes","No"))</f>
        <v/>
      </c>
      <c r="Y88" s="20" t="str">
        <f aca="false">IF(A88="","",N(G88)-N(L88)-N(N88))</f>
        <v/>
      </c>
      <c r="Z88" s="21" t="str">
        <f aca="false">IF(OR(G88="",H88="",I88=""),"",ABS(H88-I88)*G88)</f>
        <v/>
      </c>
      <c r="AA88" s="22" t="str">
        <f aca="false">IF(OR(J88="",N(Z88)=0),"",ABS(J88-H88)/ABS(H88-I88))</f>
        <v/>
      </c>
      <c r="AB88" s="23" t="str">
        <f aca="false">IF(U88&lt;&gt;"Closed","",(N(L88)*N(M88)+N(N88)*N(O88)+Y88*Q88)/G88)</f>
        <v/>
      </c>
      <c r="AC88" s="24" t="str">
        <f aca="false">IF(U88&lt;&gt;"Closed","",IF($B88="Short",-1,1)*((N(M88)-H88)*N(L88)+(N(O88)-H88)*N(N88)+(Q88-H88)*Y88)-N(R88))</f>
        <v/>
      </c>
      <c r="AD88" s="25" t="str">
        <f aca="false">IF(OR(AC88="",N(Z88)=0),"",AC88/Z88)</f>
        <v/>
      </c>
      <c r="AE88" s="25" t="str">
        <f aca="false">IF(OR(S88="",N(Z88)=0),"",IF($B88="Short",-1,1)*(S88-H88)*G88/Z88)</f>
        <v/>
      </c>
      <c r="AF88" s="25" t="str">
        <f aca="false">IF(OR(T88="",N(Z88)=0),"",IF($B88="Short",-1,1)*(T88-H88)*G88/Z88)</f>
        <v/>
      </c>
      <c r="AG88" s="21" t="str">
        <f aca="false">IF(U88&lt;&gt;"Open","",Y88*MAX(0,IF($B88="Short",-1,1)*(H88-IF(K88="",I88,K88))))</f>
        <v/>
      </c>
      <c r="AH88" s="26" t="str">
        <f aca="false">IF(U88&lt;&gt;"Closed","",DATE(YEAR(P88),MONTH(P88),1))</f>
        <v/>
      </c>
      <c r="AI88" s="19" t="str">
        <f aca="false">IF(U88&lt;&gt;"Closed","",COUNTIFS($U$7:$U$506,"Closed",$P$7:$P$506,"&lt;"&amp;P88)+COUNTIFS($U$7:U88,"Closed",$P$7:P88,P88))</f>
        <v/>
      </c>
    </row>
    <row r="89" customFormat="false" ht="15" hidden="false" customHeight="false" outlineLevel="0" collapsed="false">
      <c r="A89" s="13"/>
      <c r="B89" s="14"/>
      <c r="C89" s="14"/>
      <c r="D89" s="14"/>
      <c r="E89" s="15"/>
      <c r="F89" s="15"/>
      <c r="G89" s="16"/>
      <c r="H89" s="17"/>
      <c r="I89" s="17"/>
      <c r="J89" s="17"/>
      <c r="K89" s="17"/>
      <c r="L89" s="16"/>
      <c r="M89" s="17"/>
      <c r="N89" s="16"/>
      <c r="O89" s="17"/>
      <c r="P89" s="15"/>
      <c r="Q89" s="17"/>
      <c r="R89" s="17"/>
      <c r="S89" s="17"/>
      <c r="T89" s="17"/>
      <c r="U89" s="18" t="str">
        <f aca="false">IF(A89="","",IF(N(G89)-N(L89)-N(N89)&lt;0,"Check shares",IF(AND(P89&lt;&gt;"",Q89&lt;&gt;""),"Closed","Open")))</f>
        <v/>
      </c>
      <c r="V89" s="19" t="str">
        <f aca="false">IF(OR(F89="",P89=""),"",NETWORKDAYS(F89,P89,Lists!$F$5:$F$40)-1)</f>
        <v/>
      </c>
      <c r="W89" s="18" t="str">
        <f aca="false">IF(V89="","",IF(V89=0,"Same day","Overnight"))</f>
        <v/>
      </c>
      <c r="X89" s="18" t="str">
        <f aca="false">IF(OR(E89="",F89=""),"",IF(AND(E89&gt;=F89,OR(P89="",E89&lt;=P89)),"Yes","No"))</f>
        <v/>
      </c>
      <c r="Y89" s="20" t="str">
        <f aca="false">IF(A89="","",N(G89)-N(L89)-N(N89))</f>
        <v/>
      </c>
      <c r="Z89" s="21" t="str">
        <f aca="false">IF(OR(G89="",H89="",I89=""),"",ABS(H89-I89)*G89)</f>
        <v/>
      </c>
      <c r="AA89" s="22" t="str">
        <f aca="false">IF(OR(J89="",N(Z89)=0),"",ABS(J89-H89)/ABS(H89-I89))</f>
        <v/>
      </c>
      <c r="AB89" s="23" t="str">
        <f aca="false">IF(U89&lt;&gt;"Closed","",(N(L89)*N(M89)+N(N89)*N(O89)+Y89*Q89)/G89)</f>
        <v/>
      </c>
      <c r="AC89" s="24" t="str">
        <f aca="false">IF(U89&lt;&gt;"Closed","",IF($B89="Short",-1,1)*((N(M89)-H89)*N(L89)+(N(O89)-H89)*N(N89)+(Q89-H89)*Y89)-N(R89))</f>
        <v/>
      </c>
      <c r="AD89" s="25" t="str">
        <f aca="false">IF(OR(AC89="",N(Z89)=0),"",AC89/Z89)</f>
        <v/>
      </c>
      <c r="AE89" s="25" t="str">
        <f aca="false">IF(OR(S89="",N(Z89)=0),"",IF($B89="Short",-1,1)*(S89-H89)*G89/Z89)</f>
        <v/>
      </c>
      <c r="AF89" s="25" t="str">
        <f aca="false">IF(OR(T89="",N(Z89)=0),"",IF($B89="Short",-1,1)*(T89-H89)*G89/Z89)</f>
        <v/>
      </c>
      <c r="AG89" s="21" t="str">
        <f aca="false">IF(U89&lt;&gt;"Open","",Y89*MAX(0,IF($B89="Short",-1,1)*(H89-IF(K89="",I89,K89))))</f>
        <v/>
      </c>
      <c r="AH89" s="26" t="str">
        <f aca="false">IF(U89&lt;&gt;"Closed","",DATE(YEAR(P89),MONTH(P89),1))</f>
        <v/>
      </c>
      <c r="AI89" s="19" t="str">
        <f aca="false">IF(U89&lt;&gt;"Closed","",COUNTIFS($U$7:$U$506,"Closed",$P$7:$P$506,"&lt;"&amp;P89)+COUNTIFS($U$7:U89,"Closed",$P$7:P89,P89))</f>
        <v/>
      </c>
    </row>
    <row r="90" customFormat="false" ht="15" hidden="false" customHeight="false" outlineLevel="0" collapsed="false">
      <c r="A90" s="13"/>
      <c r="B90" s="14"/>
      <c r="C90" s="14"/>
      <c r="D90" s="14"/>
      <c r="E90" s="15"/>
      <c r="F90" s="15"/>
      <c r="G90" s="16"/>
      <c r="H90" s="17"/>
      <c r="I90" s="17"/>
      <c r="J90" s="17"/>
      <c r="K90" s="17"/>
      <c r="L90" s="16"/>
      <c r="M90" s="17"/>
      <c r="N90" s="16"/>
      <c r="O90" s="17"/>
      <c r="P90" s="15"/>
      <c r="Q90" s="17"/>
      <c r="R90" s="17"/>
      <c r="S90" s="17"/>
      <c r="T90" s="17"/>
      <c r="U90" s="18" t="str">
        <f aca="false">IF(A90="","",IF(N(G90)-N(L90)-N(N90)&lt;0,"Check shares",IF(AND(P90&lt;&gt;"",Q90&lt;&gt;""),"Closed","Open")))</f>
        <v/>
      </c>
      <c r="V90" s="19" t="str">
        <f aca="false">IF(OR(F90="",P90=""),"",NETWORKDAYS(F90,P90,Lists!$F$5:$F$40)-1)</f>
        <v/>
      </c>
      <c r="W90" s="18" t="str">
        <f aca="false">IF(V90="","",IF(V90=0,"Same day","Overnight"))</f>
        <v/>
      </c>
      <c r="X90" s="18" t="str">
        <f aca="false">IF(OR(E90="",F90=""),"",IF(AND(E90&gt;=F90,OR(P90="",E90&lt;=P90)),"Yes","No"))</f>
        <v/>
      </c>
      <c r="Y90" s="20" t="str">
        <f aca="false">IF(A90="","",N(G90)-N(L90)-N(N90))</f>
        <v/>
      </c>
      <c r="Z90" s="21" t="str">
        <f aca="false">IF(OR(G90="",H90="",I90=""),"",ABS(H90-I90)*G90)</f>
        <v/>
      </c>
      <c r="AA90" s="22" t="str">
        <f aca="false">IF(OR(J90="",N(Z90)=0),"",ABS(J90-H90)/ABS(H90-I90))</f>
        <v/>
      </c>
      <c r="AB90" s="23" t="str">
        <f aca="false">IF(U90&lt;&gt;"Closed","",(N(L90)*N(M90)+N(N90)*N(O90)+Y90*Q90)/G90)</f>
        <v/>
      </c>
      <c r="AC90" s="24" t="str">
        <f aca="false">IF(U90&lt;&gt;"Closed","",IF($B90="Short",-1,1)*((N(M90)-H90)*N(L90)+(N(O90)-H90)*N(N90)+(Q90-H90)*Y90)-N(R90))</f>
        <v/>
      </c>
      <c r="AD90" s="25" t="str">
        <f aca="false">IF(OR(AC90="",N(Z90)=0),"",AC90/Z90)</f>
        <v/>
      </c>
      <c r="AE90" s="25" t="str">
        <f aca="false">IF(OR(S90="",N(Z90)=0),"",IF($B90="Short",-1,1)*(S90-H90)*G90/Z90)</f>
        <v/>
      </c>
      <c r="AF90" s="25" t="str">
        <f aca="false">IF(OR(T90="",N(Z90)=0),"",IF($B90="Short",-1,1)*(T90-H90)*G90/Z90)</f>
        <v/>
      </c>
      <c r="AG90" s="21" t="str">
        <f aca="false">IF(U90&lt;&gt;"Open","",Y90*MAX(0,IF($B90="Short",-1,1)*(H90-IF(K90="",I90,K90))))</f>
        <v/>
      </c>
      <c r="AH90" s="26" t="str">
        <f aca="false">IF(U90&lt;&gt;"Closed","",DATE(YEAR(P90),MONTH(P90),1))</f>
        <v/>
      </c>
      <c r="AI90" s="19" t="str">
        <f aca="false">IF(U90&lt;&gt;"Closed","",COUNTIFS($U$7:$U$506,"Closed",$P$7:$P$506,"&lt;"&amp;P90)+COUNTIFS($U$7:U90,"Closed",$P$7:P90,P90))</f>
        <v/>
      </c>
    </row>
    <row r="91" customFormat="false" ht="15" hidden="false" customHeight="false" outlineLevel="0" collapsed="false">
      <c r="A91" s="13"/>
      <c r="B91" s="14"/>
      <c r="C91" s="14"/>
      <c r="D91" s="14"/>
      <c r="E91" s="15"/>
      <c r="F91" s="15"/>
      <c r="G91" s="16"/>
      <c r="H91" s="17"/>
      <c r="I91" s="17"/>
      <c r="J91" s="17"/>
      <c r="K91" s="17"/>
      <c r="L91" s="16"/>
      <c r="M91" s="17"/>
      <c r="N91" s="16"/>
      <c r="O91" s="17"/>
      <c r="P91" s="15"/>
      <c r="Q91" s="17"/>
      <c r="R91" s="17"/>
      <c r="S91" s="17"/>
      <c r="T91" s="17"/>
      <c r="U91" s="18" t="str">
        <f aca="false">IF(A91="","",IF(N(G91)-N(L91)-N(N91)&lt;0,"Check shares",IF(AND(P91&lt;&gt;"",Q91&lt;&gt;""),"Closed","Open")))</f>
        <v/>
      </c>
      <c r="V91" s="19" t="str">
        <f aca="false">IF(OR(F91="",P91=""),"",NETWORKDAYS(F91,P91,Lists!$F$5:$F$40)-1)</f>
        <v/>
      </c>
      <c r="W91" s="18" t="str">
        <f aca="false">IF(V91="","",IF(V91=0,"Same day","Overnight"))</f>
        <v/>
      </c>
      <c r="X91" s="18" t="str">
        <f aca="false">IF(OR(E91="",F91=""),"",IF(AND(E91&gt;=F91,OR(P91="",E91&lt;=P91)),"Yes","No"))</f>
        <v/>
      </c>
      <c r="Y91" s="20" t="str">
        <f aca="false">IF(A91="","",N(G91)-N(L91)-N(N91))</f>
        <v/>
      </c>
      <c r="Z91" s="21" t="str">
        <f aca="false">IF(OR(G91="",H91="",I91=""),"",ABS(H91-I91)*G91)</f>
        <v/>
      </c>
      <c r="AA91" s="22" t="str">
        <f aca="false">IF(OR(J91="",N(Z91)=0),"",ABS(J91-H91)/ABS(H91-I91))</f>
        <v/>
      </c>
      <c r="AB91" s="23" t="str">
        <f aca="false">IF(U91&lt;&gt;"Closed","",(N(L91)*N(M91)+N(N91)*N(O91)+Y91*Q91)/G91)</f>
        <v/>
      </c>
      <c r="AC91" s="24" t="str">
        <f aca="false">IF(U91&lt;&gt;"Closed","",IF($B91="Short",-1,1)*((N(M91)-H91)*N(L91)+(N(O91)-H91)*N(N91)+(Q91-H91)*Y91)-N(R91))</f>
        <v/>
      </c>
      <c r="AD91" s="25" t="str">
        <f aca="false">IF(OR(AC91="",N(Z91)=0),"",AC91/Z91)</f>
        <v/>
      </c>
      <c r="AE91" s="25" t="str">
        <f aca="false">IF(OR(S91="",N(Z91)=0),"",IF($B91="Short",-1,1)*(S91-H91)*G91/Z91)</f>
        <v/>
      </c>
      <c r="AF91" s="25" t="str">
        <f aca="false">IF(OR(T91="",N(Z91)=0),"",IF($B91="Short",-1,1)*(T91-H91)*G91/Z91)</f>
        <v/>
      </c>
      <c r="AG91" s="21" t="str">
        <f aca="false">IF(U91&lt;&gt;"Open","",Y91*MAX(0,IF($B91="Short",-1,1)*(H91-IF(K91="",I91,K91))))</f>
        <v/>
      </c>
      <c r="AH91" s="26" t="str">
        <f aca="false">IF(U91&lt;&gt;"Closed","",DATE(YEAR(P91),MONTH(P91),1))</f>
        <v/>
      </c>
      <c r="AI91" s="19" t="str">
        <f aca="false">IF(U91&lt;&gt;"Closed","",COUNTIFS($U$7:$U$506,"Closed",$P$7:$P$506,"&lt;"&amp;P91)+COUNTIFS($U$7:U91,"Closed",$P$7:P91,P91))</f>
        <v/>
      </c>
    </row>
    <row r="92" customFormat="false" ht="15" hidden="false" customHeight="false" outlineLevel="0" collapsed="false">
      <c r="A92" s="13"/>
      <c r="B92" s="14"/>
      <c r="C92" s="14"/>
      <c r="D92" s="14"/>
      <c r="E92" s="15"/>
      <c r="F92" s="15"/>
      <c r="G92" s="16"/>
      <c r="H92" s="17"/>
      <c r="I92" s="17"/>
      <c r="J92" s="17"/>
      <c r="K92" s="17"/>
      <c r="L92" s="16"/>
      <c r="M92" s="17"/>
      <c r="N92" s="16"/>
      <c r="O92" s="17"/>
      <c r="P92" s="15"/>
      <c r="Q92" s="17"/>
      <c r="R92" s="17"/>
      <c r="S92" s="17"/>
      <c r="T92" s="17"/>
      <c r="U92" s="18" t="str">
        <f aca="false">IF(A92="","",IF(N(G92)-N(L92)-N(N92)&lt;0,"Check shares",IF(AND(P92&lt;&gt;"",Q92&lt;&gt;""),"Closed","Open")))</f>
        <v/>
      </c>
      <c r="V92" s="19" t="str">
        <f aca="false">IF(OR(F92="",P92=""),"",NETWORKDAYS(F92,P92,Lists!$F$5:$F$40)-1)</f>
        <v/>
      </c>
      <c r="W92" s="18" t="str">
        <f aca="false">IF(V92="","",IF(V92=0,"Same day","Overnight"))</f>
        <v/>
      </c>
      <c r="X92" s="18" t="str">
        <f aca="false">IF(OR(E92="",F92=""),"",IF(AND(E92&gt;=F92,OR(P92="",E92&lt;=P92)),"Yes","No"))</f>
        <v/>
      </c>
      <c r="Y92" s="20" t="str">
        <f aca="false">IF(A92="","",N(G92)-N(L92)-N(N92))</f>
        <v/>
      </c>
      <c r="Z92" s="21" t="str">
        <f aca="false">IF(OR(G92="",H92="",I92=""),"",ABS(H92-I92)*G92)</f>
        <v/>
      </c>
      <c r="AA92" s="22" t="str">
        <f aca="false">IF(OR(J92="",N(Z92)=0),"",ABS(J92-H92)/ABS(H92-I92))</f>
        <v/>
      </c>
      <c r="AB92" s="23" t="str">
        <f aca="false">IF(U92&lt;&gt;"Closed","",(N(L92)*N(M92)+N(N92)*N(O92)+Y92*Q92)/G92)</f>
        <v/>
      </c>
      <c r="AC92" s="24" t="str">
        <f aca="false">IF(U92&lt;&gt;"Closed","",IF($B92="Short",-1,1)*((N(M92)-H92)*N(L92)+(N(O92)-H92)*N(N92)+(Q92-H92)*Y92)-N(R92))</f>
        <v/>
      </c>
      <c r="AD92" s="25" t="str">
        <f aca="false">IF(OR(AC92="",N(Z92)=0),"",AC92/Z92)</f>
        <v/>
      </c>
      <c r="AE92" s="25" t="str">
        <f aca="false">IF(OR(S92="",N(Z92)=0),"",IF($B92="Short",-1,1)*(S92-H92)*G92/Z92)</f>
        <v/>
      </c>
      <c r="AF92" s="25" t="str">
        <f aca="false">IF(OR(T92="",N(Z92)=0),"",IF($B92="Short",-1,1)*(T92-H92)*G92/Z92)</f>
        <v/>
      </c>
      <c r="AG92" s="21" t="str">
        <f aca="false">IF(U92&lt;&gt;"Open","",Y92*MAX(0,IF($B92="Short",-1,1)*(H92-IF(K92="",I92,K92))))</f>
        <v/>
      </c>
      <c r="AH92" s="26" t="str">
        <f aca="false">IF(U92&lt;&gt;"Closed","",DATE(YEAR(P92),MONTH(P92),1))</f>
        <v/>
      </c>
      <c r="AI92" s="19" t="str">
        <f aca="false">IF(U92&lt;&gt;"Closed","",COUNTIFS($U$7:$U$506,"Closed",$P$7:$P$506,"&lt;"&amp;P92)+COUNTIFS($U$7:U92,"Closed",$P$7:P92,P92))</f>
        <v/>
      </c>
    </row>
    <row r="93" customFormat="false" ht="15" hidden="false" customHeight="false" outlineLevel="0" collapsed="false">
      <c r="A93" s="13"/>
      <c r="B93" s="14"/>
      <c r="C93" s="14"/>
      <c r="D93" s="14"/>
      <c r="E93" s="15"/>
      <c r="F93" s="15"/>
      <c r="G93" s="16"/>
      <c r="H93" s="17"/>
      <c r="I93" s="17"/>
      <c r="J93" s="17"/>
      <c r="K93" s="17"/>
      <c r="L93" s="16"/>
      <c r="M93" s="17"/>
      <c r="N93" s="16"/>
      <c r="O93" s="17"/>
      <c r="P93" s="15"/>
      <c r="Q93" s="17"/>
      <c r="R93" s="17"/>
      <c r="S93" s="17"/>
      <c r="T93" s="17"/>
      <c r="U93" s="18" t="str">
        <f aca="false">IF(A93="","",IF(N(G93)-N(L93)-N(N93)&lt;0,"Check shares",IF(AND(P93&lt;&gt;"",Q93&lt;&gt;""),"Closed","Open")))</f>
        <v/>
      </c>
      <c r="V93" s="19" t="str">
        <f aca="false">IF(OR(F93="",P93=""),"",NETWORKDAYS(F93,P93,Lists!$F$5:$F$40)-1)</f>
        <v/>
      </c>
      <c r="W93" s="18" t="str">
        <f aca="false">IF(V93="","",IF(V93=0,"Same day","Overnight"))</f>
        <v/>
      </c>
      <c r="X93" s="18" t="str">
        <f aca="false">IF(OR(E93="",F93=""),"",IF(AND(E93&gt;=F93,OR(P93="",E93&lt;=P93)),"Yes","No"))</f>
        <v/>
      </c>
      <c r="Y93" s="20" t="str">
        <f aca="false">IF(A93="","",N(G93)-N(L93)-N(N93))</f>
        <v/>
      </c>
      <c r="Z93" s="21" t="str">
        <f aca="false">IF(OR(G93="",H93="",I93=""),"",ABS(H93-I93)*G93)</f>
        <v/>
      </c>
      <c r="AA93" s="22" t="str">
        <f aca="false">IF(OR(J93="",N(Z93)=0),"",ABS(J93-H93)/ABS(H93-I93))</f>
        <v/>
      </c>
      <c r="AB93" s="23" t="str">
        <f aca="false">IF(U93&lt;&gt;"Closed","",(N(L93)*N(M93)+N(N93)*N(O93)+Y93*Q93)/G93)</f>
        <v/>
      </c>
      <c r="AC93" s="24" t="str">
        <f aca="false">IF(U93&lt;&gt;"Closed","",IF($B93="Short",-1,1)*((N(M93)-H93)*N(L93)+(N(O93)-H93)*N(N93)+(Q93-H93)*Y93)-N(R93))</f>
        <v/>
      </c>
      <c r="AD93" s="25" t="str">
        <f aca="false">IF(OR(AC93="",N(Z93)=0),"",AC93/Z93)</f>
        <v/>
      </c>
      <c r="AE93" s="25" t="str">
        <f aca="false">IF(OR(S93="",N(Z93)=0),"",IF($B93="Short",-1,1)*(S93-H93)*G93/Z93)</f>
        <v/>
      </c>
      <c r="AF93" s="25" t="str">
        <f aca="false">IF(OR(T93="",N(Z93)=0),"",IF($B93="Short",-1,1)*(T93-H93)*G93/Z93)</f>
        <v/>
      </c>
      <c r="AG93" s="21" t="str">
        <f aca="false">IF(U93&lt;&gt;"Open","",Y93*MAX(0,IF($B93="Short",-1,1)*(H93-IF(K93="",I93,K93))))</f>
        <v/>
      </c>
      <c r="AH93" s="26" t="str">
        <f aca="false">IF(U93&lt;&gt;"Closed","",DATE(YEAR(P93),MONTH(P93),1))</f>
        <v/>
      </c>
      <c r="AI93" s="19" t="str">
        <f aca="false">IF(U93&lt;&gt;"Closed","",COUNTIFS($U$7:$U$506,"Closed",$P$7:$P$506,"&lt;"&amp;P93)+COUNTIFS($U$7:U93,"Closed",$P$7:P93,P93))</f>
        <v/>
      </c>
    </row>
    <row r="94" customFormat="false" ht="15" hidden="false" customHeight="false" outlineLevel="0" collapsed="false">
      <c r="A94" s="13"/>
      <c r="B94" s="14"/>
      <c r="C94" s="14"/>
      <c r="D94" s="14"/>
      <c r="E94" s="15"/>
      <c r="F94" s="15"/>
      <c r="G94" s="16"/>
      <c r="H94" s="17"/>
      <c r="I94" s="17"/>
      <c r="J94" s="17"/>
      <c r="K94" s="17"/>
      <c r="L94" s="16"/>
      <c r="M94" s="17"/>
      <c r="N94" s="16"/>
      <c r="O94" s="17"/>
      <c r="P94" s="15"/>
      <c r="Q94" s="17"/>
      <c r="R94" s="17"/>
      <c r="S94" s="17"/>
      <c r="T94" s="17"/>
      <c r="U94" s="18" t="str">
        <f aca="false">IF(A94="","",IF(N(G94)-N(L94)-N(N94)&lt;0,"Check shares",IF(AND(P94&lt;&gt;"",Q94&lt;&gt;""),"Closed","Open")))</f>
        <v/>
      </c>
      <c r="V94" s="19" t="str">
        <f aca="false">IF(OR(F94="",P94=""),"",NETWORKDAYS(F94,P94,Lists!$F$5:$F$40)-1)</f>
        <v/>
      </c>
      <c r="W94" s="18" t="str">
        <f aca="false">IF(V94="","",IF(V94=0,"Same day","Overnight"))</f>
        <v/>
      </c>
      <c r="X94" s="18" t="str">
        <f aca="false">IF(OR(E94="",F94=""),"",IF(AND(E94&gt;=F94,OR(P94="",E94&lt;=P94)),"Yes","No"))</f>
        <v/>
      </c>
      <c r="Y94" s="20" t="str">
        <f aca="false">IF(A94="","",N(G94)-N(L94)-N(N94))</f>
        <v/>
      </c>
      <c r="Z94" s="21" t="str">
        <f aca="false">IF(OR(G94="",H94="",I94=""),"",ABS(H94-I94)*G94)</f>
        <v/>
      </c>
      <c r="AA94" s="22" t="str">
        <f aca="false">IF(OR(J94="",N(Z94)=0),"",ABS(J94-H94)/ABS(H94-I94))</f>
        <v/>
      </c>
      <c r="AB94" s="23" t="str">
        <f aca="false">IF(U94&lt;&gt;"Closed","",(N(L94)*N(M94)+N(N94)*N(O94)+Y94*Q94)/G94)</f>
        <v/>
      </c>
      <c r="AC94" s="24" t="str">
        <f aca="false">IF(U94&lt;&gt;"Closed","",IF($B94="Short",-1,1)*((N(M94)-H94)*N(L94)+(N(O94)-H94)*N(N94)+(Q94-H94)*Y94)-N(R94))</f>
        <v/>
      </c>
      <c r="AD94" s="25" t="str">
        <f aca="false">IF(OR(AC94="",N(Z94)=0),"",AC94/Z94)</f>
        <v/>
      </c>
      <c r="AE94" s="25" t="str">
        <f aca="false">IF(OR(S94="",N(Z94)=0),"",IF($B94="Short",-1,1)*(S94-H94)*G94/Z94)</f>
        <v/>
      </c>
      <c r="AF94" s="25" t="str">
        <f aca="false">IF(OR(T94="",N(Z94)=0),"",IF($B94="Short",-1,1)*(T94-H94)*G94/Z94)</f>
        <v/>
      </c>
      <c r="AG94" s="21" t="str">
        <f aca="false">IF(U94&lt;&gt;"Open","",Y94*MAX(0,IF($B94="Short",-1,1)*(H94-IF(K94="",I94,K94))))</f>
        <v/>
      </c>
      <c r="AH94" s="26" t="str">
        <f aca="false">IF(U94&lt;&gt;"Closed","",DATE(YEAR(P94),MONTH(P94),1))</f>
        <v/>
      </c>
      <c r="AI94" s="19" t="str">
        <f aca="false">IF(U94&lt;&gt;"Closed","",COUNTIFS($U$7:$U$506,"Closed",$P$7:$P$506,"&lt;"&amp;P94)+COUNTIFS($U$7:U94,"Closed",$P$7:P94,P94))</f>
        <v/>
      </c>
    </row>
    <row r="95" customFormat="false" ht="15" hidden="false" customHeight="false" outlineLevel="0" collapsed="false">
      <c r="A95" s="13"/>
      <c r="B95" s="14"/>
      <c r="C95" s="14"/>
      <c r="D95" s="14"/>
      <c r="E95" s="15"/>
      <c r="F95" s="15"/>
      <c r="G95" s="16"/>
      <c r="H95" s="17"/>
      <c r="I95" s="17"/>
      <c r="J95" s="17"/>
      <c r="K95" s="17"/>
      <c r="L95" s="16"/>
      <c r="M95" s="17"/>
      <c r="N95" s="16"/>
      <c r="O95" s="17"/>
      <c r="P95" s="15"/>
      <c r="Q95" s="17"/>
      <c r="R95" s="17"/>
      <c r="S95" s="17"/>
      <c r="T95" s="17"/>
      <c r="U95" s="18" t="str">
        <f aca="false">IF(A95="","",IF(N(G95)-N(L95)-N(N95)&lt;0,"Check shares",IF(AND(P95&lt;&gt;"",Q95&lt;&gt;""),"Closed","Open")))</f>
        <v/>
      </c>
      <c r="V95" s="19" t="str">
        <f aca="false">IF(OR(F95="",P95=""),"",NETWORKDAYS(F95,P95,Lists!$F$5:$F$40)-1)</f>
        <v/>
      </c>
      <c r="W95" s="18" t="str">
        <f aca="false">IF(V95="","",IF(V95=0,"Same day","Overnight"))</f>
        <v/>
      </c>
      <c r="X95" s="18" t="str">
        <f aca="false">IF(OR(E95="",F95=""),"",IF(AND(E95&gt;=F95,OR(P95="",E95&lt;=P95)),"Yes","No"))</f>
        <v/>
      </c>
      <c r="Y95" s="20" t="str">
        <f aca="false">IF(A95="","",N(G95)-N(L95)-N(N95))</f>
        <v/>
      </c>
      <c r="Z95" s="21" t="str">
        <f aca="false">IF(OR(G95="",H95="",I95=""),"",ABS(H95-I95)*G95)</f>
        <v/>
      </c>
      <c r="AA95" s="22" t="str">
        <f aca="false">IF(OR(J95="",N(Z95)=0),"",ABS(J95-H95)/ABS(H95-I95))</f>
        <v/>
      </c>
      <c r="AB95" s="23" t="str">
        <f aca="false">IF(U95&lt;&gt;"Closed","",(N(L95)*N(M95)+N(N95)*N(O95)+Y95*Q95)/G95)</f>
        <v/>
      </c>
      <c r="AC95" s="24" t="str">
        <f aca="false">IF(U95&lt;&gt;"Closed","",IF($B95="Short",-1,1)*((N(M95)-H95)*N(L95)+(N(O95)-H95)*N(N95)+(Q95-H95)*Y95)-N(R95))</f>
        <v/>
      </c>
      <c r="AD95" s="25" t="str">
        <f aca="false">IF(OR(AC95="",N(Z95)=0),"",AC95/Z95)</f>
        <v/>
      </c>
      <c r="AE95" s="25" t="str">
        <f aca="false">IF(OR(S95="",N(Z95)=0),"",IF($B95="Short",-1,1)*(S95-H95)*G95/Z95)</f>
        <v/>
      </c>
      <c r="AF95" s="25" t="str">
        <f aca="false">IF(OR(T95="",N(Z95)=0),"",IF($B95="Short",-1,1)*(T95-H95)*G95/Z95)</f>
        <v/>
      </c>
      <c r="AG95" s="21" t="str">
        <f aca="false">IF(U95&lt;&gt;"Open","",Y95*MAX(0,IF($B95="Short",-1,1)*(H95-IF(K95="",I95,K95))))</f>
        <v/>
      </c>
      <c r="AH95" s="26" t="str">
        <f aca="false">IF(U95&lt;&gt;"Closed","",DATE(YEAR(P95),MONTH(P95),1))</f>
        <v/>
      </c>
      <c r="AI95" s="19" t="str">
        <f aca="false">IF(U95&lt;&gt;"Closed","",COUNTIFS($U$7:$U$506,"Closed",$P$7:$P$506,"&lt;"&amp;P95)+COUNTIFS($U$7:U95,"Closed",$P$7:P95,P95))</f>
        <v/>
      </c>
    </row>
    <row r="96" customFormat="false" ht="15" hidden="false" customHeight="false" outlineLevel="0" collapsed="false">
      <c r="A96" s="13"/>
      <c r="B96" s="14"/>
      <c r="C96" s="14"/>
      <c r="D96" s="14"/>
      <c r="E96" s="15"/>
      <c r="F96" s="15"/>
      <c r="G96" s="16"/>
      <c r="H96" s="17"/>
      <c r="I96" s="17"/>
      <c r="J96" s="17"/>
      <c r="K96" s="17"/>
      <c r="L96" s="16"/>
      <c r="M96" s="17"/>
      <c r="N96" s="16"/>
      <c r="O96" s="17"/>
      <c r="P96" s="15"/>
      <c r="Q96" s="17"/>
      <c r="R96" s="17"/>
      <c r="S96" s="17"/>
      <c r="T96" s="17"/>
      <c r="U96" s="18" t="str">
        <f aca="false">IF(A96="","",IF(N(G96)-N(L96)-N(N96)&lt;0,"Check shares",IF(AND(P96&lt;&gt;"",Q96&lt;&gt;""),"Closed","Open")))</f>
        <v/>
      </c>
      <c r="V96" s="19" t="str">
        <f aca="false">IF(OR(F96="",P96=""),"",NETWORKDAYS(F96,P96,Lists!$F$5:$F$40)-1)</f>
        <v/>
      </c>
      <c r="W96" s="18" t="str">
        <f aca="false">IF(V96="","",IF(V96=0,"Same day","Overnight"))</f>
        <v/>
      </c>
      <c r="X96" s="18" t="str">
        <f aca="false">IF(OR(E96="",F96=""),"",IF(AND(E96&gt;=F96,OR(P96="",E96&lt;=P96)),"Yes","No"))</f>
        <v/>
      </c>
      <c r="Y96" s="20" t="str">
        <f aca="false">IF(A96="","",N(G96)-N(L96)-N(N96))</f>
        <v/>
      </c>
      <c r="Z96" s="21" t="str">
        <f aca="false">IF(OR(G96="",H96="",I96=""),"",ABS(H96-I96)*G96)</f>
        <v/>
      </c>
      <c r="AA96" s="22" t="str">
        <f aca="false">IF(OR(J96="",N(Z96)=0),"",ABS(J96-H96)/ABS(H96-I96))</f>
        <v/>
      </c>
      <c r="AB96" s="23" t="str">
        <f aca="false">IF(U96&lt;&gt;"Closed","",(N(L96)*N(M96)+N(N96)*N(O96)+Y96*Q96)/G96)</f>
        <v/>
      </c>
      <c r="AC96" s="24" t="str">
        <f aca="false">IF(U96&lt;&gt;"Closed","",IF($B96="Short",-1,1)*((N(M96)-H96)*N(L96)+(N(O96)-H96)*N(N96)+(Q96-H96)*Y96)-N(R96))</f>
        <v/>
      </c>
      <c r="AD96" s="25" t="str">
        <f aca="false">IF(OR(AC96="",N(Z96)=0),"",AC96/Z96)</f>
        <v/>
      </c>
      <c r="AE96" s="25" t="str">
        <f aca="false">IF(OR(S96="",N(Z96)=0),"",IF($B96="Short",-1,1)*(S96-H96)*G96/Z96)</f>
        <v/>
      </c>
      <c r="AF96" s="25" t="str">
        <f aca="false">IF(OR(T96="",N(Z96)=0),"",IF($B96="Short",-1,1)*(T96-H96)*G96/Z96)</f>
        <v/>
      </c>
      <c r="AG96" s="21" t="str">
        <f aca="false">IF(U96&lt;&gt;"Open","",Y96*MAX(0,IF($B96="Short",-1,1)*(H96-IF(K96="",I96,K96))))</f>
        <v/>
      </c>
      <c r="AH96" s="26" t="str">
        <f aca="false">IF(U96&lt;&gt;"Closed","",DATE(YEAR(P96),MONTH(P96),1))</f>
        <v/>
      </c>
      <c r="AI96" s="19" t="str">
        <f aca="false">IF(U96&lt;&gt;"Closed","",COUNTIFS($U$7:$U$506,"Closed",$P$7:$P$506,"&lt;"&amp;P96)+COUNTIFS($U$7:U96,"Closed",$P$7:P96,P96))</f>
        <v/>
      </c>
    </row>
    <row r="97" customFormat="false" ht="15" hidden="false" customHeight="false" outlineLevel="0" collapsed="false">
      <c r="A97" s="13"/>
      <c r="B97" s="14"/>
      <c r="C97" s="14"/>
      <c r="D97" s="14"/>
      <c r="E97" s="15"/>
      <c r="F97" s="15"/>
      <c r="G97" s="16"/>
      <c r="H97" s="17"/>
      <c r="I97" s="17"/>
      <c r="J97" s="17"/>
      <c r="K97" s="17"/>
      <c r="L97" s="16"/>
      <c r="M97" s="17"/>
      <c r="N97" s="16"/>
      <c r="O97" s="17"/>
      <c r="P97" s="15"/>
      <c r="Q97" s="17"/>
      <c r="R97" s="17"/>
      <c r="S97" s="17"/>
      <c r="T97" s="17"/>
      <c r="U97" s="18" t="str">
        <f aca="false">IF(A97="","",IF(N(G97)-N(L97)-N(N97)&lt;0,"Check shares",IF(AND(P97&lt;&gt;"",Q97&lt;&gt;""),"Closed","Open")))</f>
        <v/>
      </c>
      <c r="V97" s="19" t="str">
        <f aca="false">IF(OR(F97="",P97=""),"",NETWORKDAYS(F97,P97,Lists!$F$5:$F$40)-1)</f>
        <v/>
      </c>
      <c r="W97" s="18" t="str">
        <f aca="false">IF(V97="","",IF(V97=0,"Same day","Overnight"))</f>
        <v/>
      </c>
      <c r="X97" s="18" t="str">
        <f aca="false">IF(OR(E97="",F97=""),"",IF(AND(E97&gt;=F97,OR(P97="",E97&lt;=P97)),"Yes","No"))</f>
        <v/>
      </c>
      <c r="Y97" s="20" t="str">
        <f aca="false">IF(A97="","",N(G97)-N(L97)-N(N97))</f>
        <v/>
      </c>
      <c r="Z97" s="21" t="str">
        <f aca="false">IF(OR(G97="",H97="",I97=""),"",ABS(H97-I97)*G97)</f>
        <v/>
      </c>
      <c r="AA97" s="22" t="str">
        <f aca="false">IF(OR(J97="",N(Z97)=0),"",ABS(J97-H97)/ABS(H97-I97))</f>
        <v/>
      </c>
      <c r="AB97" s="23" t="str">
        <f aca="false">IF(U97&lt;&gt;"Closed","",(N(L97)*N(M97)+N(N97)*N(O97)+Y97*Q97)/G97)</f>
        <v/>
      </c>
      <c r="AC97" s="24" t="str">
        <f aca="false">IF(U97&lt;&gt;"Closed","",IF($B97="Short",-1,1)*((N(M97)-H97)*N(L97)+(N(O97)-H97)*N(N97)+(Q97-H97)*Y97)-N(R97))</f>
        <v/>
      </c>
      <c r="AD97" s="25" t="str">
        <f aca="false">IF(OR(AC97="",N(Z97)=0),"",AC97/Z97)</f>
        <v/>
      </c>
      <c r="AE97" s="25" t="str">
        <f aca="false">IF(OR(S97="",N(Z97)=0),"",IF($B97="Short",-1,1)*(S97-H97)*G97/Z97)</f>
        <v/>
      </c>
      <c r="AF97" s="25" t="str">
        <f aca="false">IF(OR(T97="",N(Z97)=0),"",IF($B97="Short",-1,1)*(T97-H97)*G97/Z97)</f>
        <v/>
      </c>
      <c r="AG97" s="21" t="str">
        <f aca="false">IF(U97&lt;&gt;"Open","",Y97*MAX(0,IF($B97="Short",-1,1)*(H97-IF(K97="",I97,K97))))</f>
        <v/>
      </c>
      <c r="AH97" s="26" t="str">
        <f aca="false">IF(U97&lt;&gt;"Closed","",DATE(YEAR(P97),MONTH(P97),1))</f>
        <v/>
      </c>
      <c r="AI97" s="19" t="str">
        <f aca="false">IF(U97&lt;&gt;"Closed","",COUNTIFS($U$7:$U$506,"Closed",$P$7:$P$506,"&lt;"&amp;P97)+COUNTIFS($U$7:U97,"Closed",$P$7:P97,P97))</f>
        <v/>
      </c>
    </row>
    <row r="98" customFormat="false" ht="15" hidden="false" customHeight="false" outlineLevel="0" collapsed="false">
      <c r="A98" s="13"/>
      <c r="B98" s="14"/>
      <c r="C98" s="14"/>
      <c r="D98" s="14"/>
      <c r="E98" s="15"/>
      <c r="F98" s="15"/>
      <c r="G98" s="16"/>
      <c r="H98" s="17"/>
      <c r="I98" s="17"/>
      <c r="J98" s="17"/>
      <c r="K98" s="17"/>
      <c r="L98" s="16"/>
      <c r="M98" s="17"/>
      <c r="N98" s="16"/>
      <c r="O98" s="17"/>
      <c r="P98" s="15"/>
      <c r="Q98" s="17"/>
      <c r="R98" s="17"/>
      <c r="S98" s="17"/>
      <c r="T98" s="17"/>
      <c r="U98" s="18" t="str">
        <f aca="false">IF(A98="","",IF(N(G98)-N(L98)-N(N98)&lt;0,"Check shares",IF(AND(P98&lt;&gt;"",Q98&lt;&gt;""),"Closed","Open")))</f>
        <v/>
      </c>
      <c r="V98" s="19" t="str">
        <f aca="false">IF(OR(F98="",P98=""),"",NETWORKDAYS(F98,P98,Lists!$F$5:$F$40)-1)</f>
        <v/>
      </c>
      <c r="W98" s="18" t="str">
        <f aca="false">IF(V98="","",IF(V98=0,"Same day","Overnight"))</f>
        <v/>
      </c>
      <c r="X98" s="18" t="str">
        <f aca="false">IF(OR(E98="",F98=""),"",IF(AND(E98&gt;=F98,OR(P98="",E98&lt;=P98)),"Yes","No"))</f>
        <v/>
      </c>
      <c r="Y98" s="20" t="str">
        <f aca="false">IF(A98="","",N(G98)-N(L98)-N(N98))</f>
        <v/>
      </c>
      <c r="Z98" s="21" t="str">
        <f aca="false">IF(OR(G98="",H98="",I98=""),"",ABS(H98-I98)*G98)</f>
        <v/>
      </c>
      <c r="AA98" s="22" t="str">
        <f aca="false">IF(OR(J98="",N(Z98)=0),"",ABS(J98-H98)/ABS(H98-I98))</f>
        <v/>
      </c>
      <c r="AB98" s="23" t="str">
        <f aca="false">IF(U98&lt;&gt;"Closed","",(N(L98)*N(M98)+N(N98)*N(O98)+Y98*Q98)/G98)</f>
        <v/>
      </c>
      <c r="AC98" s="24" t="str">
        <f aca="false">IF(U98&lt;&gt;"Closed","",IF($B98="Short",-1,1)*((N(M98)-H98)*N(L98)+(N(O98)-H98)*N(N98)+(Q98-H98)*Y98)-N(R98))</f>
        <v/>
      </c>
      <c r="AD98" s="25" t="str">
        <f aca="false">IF(OR(AC98="",N(Z98)=0),"",AC98/Z98)</f>
        <v/>
      </c>
      <c r="AE98" s="25" t="str">
        <f aca="false">IF(OR(S98="",N(Z98)=0),"",IF($B98="Short",-1,1)*(S98-H98)*G98/Z98)</f>
        <v/>
      </c>
      <c r="AF98" s="25" t="str">
        <f aca="false">IF(OR(T98="",N(Z98)=0),"",IF($B98="Short",-1,1)*(T98-H98)*G98/Z98)</f>
        <v/>
      </c>
      <c r="AG98" s="21" t="str">
        <f aca="false">IF(U98&lt;&gt;"Open","",Y98*MAX(0,IF($B98="Short",-1,1)*(H98-IF(K98="",I98,K98))))</f>
        <v/>
      </c>
      <c r="AH98" s="26" t="str">
        <f aca="false">IF(U98&lt;&gt;"Closed","",DATE(YEAR(P98),MONTH(P98),1))</f>
        <v/>
      </c>
      <c r="AI98" s="19" t="str">
        <f aca="false">IF(U98&lt;&gt;"Closed","",COUNTIFS($U$7:$U$506,"Closed",$P$7:$P$506,"&lt;"&amp;P98)+COUNTIFS($U$7:U98,"Closed",$P$7:P98,P98))</f>
        <v/>
      </c>
    </row>
    <row r="99" customFormat="false" ht="15" hidden="false" customHeight="false" outlineLevel="0" collapsed="false">
      <c r="A99" s="13"/>
      <c r="B99" s="14"/>
      <c r="C99" s="14"/>
      <c r="D99" s="14"/>
      <c r="E99" s="15"/>
      <c r="F99" s="15"/>
      <c r="G99" s="16"/>
      <c r="H99" s="17"/>
      <c r="I99" s="17"/>
      <c r="J99" s="17"/>
      <c r="K99" s="17"/>
      <c r="L99" s="16"/>
      <c r="M99" s="17"/>
      <c r="N99" s="16"/>
      <c r="O99" s="17"/>
      <c r="P99" s="15"/>
      <c r="Q99" s="17"/>
      <c r="R99" s="17"/>
      <c r="S99" s="17"/>
      <c r="T99" s="17"/>
      <c r="U99" s="18" t="str">
        <f aca="false">IF(A99="","",IF(N(G99)-N(L99)-N(N99)&lt;0,"Check shares",IF(AND(P99&lt;&gt;"",Q99&lt;&gt;""),"Closed","Open")))</f>
        <v/>
      </c>
      <c r="V99" s="19" t="str">
        <f aca="false">IF(OR(F99="",P99=""),"",NETWORKDAYS(F99,P99,Lists!$F$5:$F$40)-1)</f>
        <v/>
      </c>
      <c r="W99" s="18" t="str">
        <f aca="false">IF(V99="","",IF(V99=0,"Same day","Overnight"))</f>
        <v/>
      </c>
      <c r="X99" s="18" t="str">
        <f aca="false">IF(OR(E99="",F99=""),"",IF(AND(E99&gt;=F99,OR(P99="",E99&lt;=P99)),"Yes","No"))</f>
        <v/>
      </c>
      <c r="Y99" s="20" t="str">
        <f aca="false">IF(A99="","",N(G99)-N(L99)-N(N99))</f>
        <v/>
      </c>
      <c r="Z99" s="21" t="str">
        <f aca="false">IF(OR(G99="",H99="",I99=""),"",ABS(H99-I99)*G99)</f>
        <v/>
      </c>
      <c r="AA99" s="22" t="str">
        <f aca="false">IF(OR(J99="",N(Z99)=0),"",ABS(J99-H99)/ABS(H99-I99))</f>
        <v/>
      </c>
      <c r="AB99" s="23" t="str">
        <f aca="false">IF(U99&lt;&gt;"Closed","",(N(L99)*N(M99)+N(N99)*N(O99)+Y99*Q99)/G99)</f>
        <v/>
      </c>
      <c r="AC99" s="24" t="str">
        <f aca="false">IF(U99&lt;&gt;"Closed","",IF($B99="Short",-1,1)*((N(M99)-H99)*N(L99)+(N(O99)-H99)*N(N99)+(Q99-H99)*Y99)-N(R99))</f>
        <v/>
      </c>
      <c r="AD99" s="25" t="str">
        <f aca="false">IF(OR(AC99="",N(Z99)=0),"",AC99/Z99)</f>
        <v/>
      </c>
      <c r="AE99" s="25" t="str">
        <f aca="false">IF(OR(S99="",N(Z99)=0),"",IF($B99="Short",-1,1)*(S99-H99)*G99/Z99)</f>
        <v/>
      </c>
      <c r="AF99" s="25" t="str">
        <f aca="false">IF(OR(T99="",N(Z99)=0),"",IF($B99="Short",-1,1)*(T99-H99)*G99/Z99)</f>
        <v/>
      </c>
      <c r="AG99" s="21" t="str">
        <f aca="false">IF(U99&lt;&gt;"Open","",Y99*MAX(0,IF($B99="Short",-1,1)*(H99-IF(K99="",I99,K99))))</f>
        <v/>
      </c>
      <c r="AH99" s="26" t="str">
        <f aca="false">IF(U99&lt;&gt;"Closed","",DATE(YEAR(P99),MONTH(P99),1))</f>
        <v/>
      </c>
      <c r="AI99" s="19" t="str">
        <f aca="false">IF(U99&lt;&gt;"Closed","",COUNTIFS($U$7:$U$506,"Closed",$P$7:$P$506,"&lt;"&amp;P99)+COUNTIFS($U$7:U99,"Closed",$P$7:P99,P99))</f>
        <v/>
      </c>
    </row>
    <row r="100" customFormat="false" ht="15" hidden="false" customHeight="false" outlineLevel="0" collapsed="false">
      <c r="A100" s="13"/>
      <c r="B100" s="14"/>
      <c r="C100" s="14"/>
      <c r="D100" s="14"/>
      <c r="E100" s="15"/>
      <c r="F100" s="15"/>
      <c r="G100" s="16"/>
      <c r="H100" s="17"/>
      <c r="I100" s="17"/>
      <c r="J100" s="17"/>
      <c r="K100" s="17"/>
      <c r="L100" s="16"/>
      <c r="M100" s="17"/>
      <c r="N100" s="16"/>
      <c r="O100" s="17"/>
      <c r="P100" s="15"/>
      <c r="Q100" s="17"/>
      <c r="R100" s="17"/>
      <c r="S100" s="17"/>
      <c r="T100" s="17"/>
      <c r="U100" s="18" t="str">
        <f aca="false">IF(A100="","",IF(N(G100)-N(L100)-N(N100)&lt;0,"Check shares",IF(AND(P100&lt;&gt;"",Q100&lt;&gt;""),"Closed","Open")))</f>
        <v/>
      </c>
      <c r="V100" s="19" t="str">
        <f aca="false">IF(OR(F100="",P100=""),"",NETWORKDAYS(F100,P100,Lists!$F$5:$F$40)-1)</f>
        <v/>
      </c>
      <c r="W100" s="18" t="str">
        <f aca="false">IF(V100="","",IF(V100=0,"Same day","Overnight"))</f>
        <v/>
      </c>
      <c r="X100" s="18" t="str">
        <f aca="false">IF(OR(E100="",F100=""),"",IF(AND(E100&gt;=F100,OR(P100="",E100&lt;=P100)),"Yes","No"))</f>
        <v/>
      </c>
      <c r="Y100" s="20" t="str">
        <f aca="false">IF(A100="","",N(G100)-N(L100)-N(N100))</f>
        <v/>
      </c>
      <c r="Z100" s="21" t="str">
        <f aca="false">IF(OR(G100="",H100="",I100=""),"",ABS(H100-I100)*G100)</f>
        <v/>
      </c>
      <c r="AA100" s="22" t="str">
        <f aca="false">IF(OR(J100="",N(Z100)=0),"",ABS(J100-H100)/ABS(H100-I100))</f>
        <v/>
      </c>
      <c r="AB100" s="23" t="str">
        <f aca="false">IF(U100&lt;&gt;"Closed","",(N(L100)*N(M100)+N(N100)*N(O100)+Y100*Q100)/G100)</f>
        <v/>
      </c>
      <c r="AC100" s="24" t="str">
        <f aca="false">IF(U100&lt;&gt;"Closed","",IF($B100="Short",-1,1)*((N(M100)-H100)*N(L100)+(N(O100)-H100)*N(N100)+(Q100-H100)*Y100)-N(R100))</f>
        <v/>
      </c>
      <c r="AD100" s="25" t="str">
        <f aca="false">IF(OR(AC100="",N(Z100)=0),"",AC100/Z100)</f>
        <v/>
      </c>
      <c r="AE100" s="25" t="str">
        <f aca="false">IF(OR(S100="",N(Z100)=0),"",IF($B100="Short",-1,1)*(S100-H100)*G100/Z100)</f>
        <v/>
      </c>
      <c r="AF100" s="25" t="str">
        <f aca="false">IF(OR(T100="",N(Z100)=0),"",IF($B100="Short",-1,1)*(T100-H100)*G100/Z100)</f>
        <v/>
      </c>
      <c r="AG100" s="21" t="str">
        <f aca="false">IF(U100&lt;&gt;"Open","",Y100*MAX(0,IF($B100="Short",-1,1)*(H100-IF(K100="",I100,K100))))</f>
        <v/>
      </c>
      <c r="AH100" s="26" t="str">
        <f aca="false">IF(U100&lt;&gt;"Closed","",DATE(YEAR(P100),MONTH(P100),1))</f>
        <v/>
      </c>
      <c r="AI100" s="19" t="str">
        <f aca="false">IF(U100&lt;&gt;"Closed","",COUNTIFS($U$7:$U$506,"Closed",$P$7:$P$506,"&lt;"&amp;P100)+COUNTIFS($U$7:U100,"Closed",$P$7:P100,P100))</f>
        <v/>
      </c>
    </row>
    <row r="101" customFormat="false" ht="15" hidden="false" customHeight="false" outlineLevel="0" collapsed="false">
      <c r="A101" s="13"/>
      <c r="B101" s="14"/>
      <c r="C101" s="14"/>
      <c r="D101" s="14"/>
      <c r="E101" s="15"/>
      <c r="F101" s="15"/>
      <c r="G101" s="16"/>
      <c r="H101" s="17"/>
      <c r="I101" s="17"/>
      <c r="J101" s="17"/>
      <c r="K101" s="17"/>
      <c r="L101" s="16"/>
      <c r="M101" s="17"/>
      <c r="N101" s="16"/>
      <c r="O101" s="17"/>
      <c r="P101" s="15"/>
      <c r="Q101" s="17"/>
      <c r="R101" s="17"/>
      <c r="S101" s="17"/>
      <c r="T101" s="17"/>
      <c r="U101" s="18" t="str">
        <f aca="false">IF(A101="","",IF(N(G101)-N(L101)-N(N101)&lt;0,"Check shares",IF(AND(P101&lt;&gt;"",Q101&lt;&gt;""),"Closed","Open")))</f>
        <v/>
      </c>
      <c r="V101" s="19" t="str">
        <f aca="false">IF(OR(F101="",P101=""),"",NETWORKDAYS(F101,P101,Lists!$F$5:$F$40)-1)</f>
        <v/>
      </c>
      <c r="W101" s="18" t="str">
        <f aca="false">IF(V101="","",IF(V101=0,"Same day","Overnight"))</f>
        <v/>
      </c>
      <c r="X101" s="18" t="str">
        <f aca="false">IF(OR(E101="",F101=""),"",IF(AND(E101&gt;=F101,OR(P101="",E101&lt;=P101)),"Yes","No"))</f>
        <v/>
      </c>
      <c r="Y101" s="20" t="str">
        <f aca="false">IF(A101="","",N(G101)-N(L101)-N(N101))</f>
        <v/>
      </c>
      <c r="Z101" s="21" t="str">
        <f aca="false">IF(OR(G101="",H101="",I101=""),"",ABS(H101-I101)*G101)</f>
        <v/>
      </c>
      <c r="AA101" s="22" t="str">
        <f aca="false">IF(OR(J101="",N(Z101)=0),"",ABS(J101-H101)/ABS(H101-I101))</f>
        <v/>
      </c>
      <c r="AB101" s="23" t="str">
        <f aca="false">IF(U101&lt;&gt;"Closed","",(N(L101)*N(M101)+N(N101)*N(O101)+Y101*Q101)/G101)</f>
        <v/>
      </c>
      <c r="AC101" s="24" t="str">
        <f aca="false">IF(U101&lt;&gt;"Closed","",IF($B101="Short",-1,1)*((N(M101)-H101)*N(L101)+(N(O101)-H101)*N(N101)+(Q101-H101)*Y101)-N(R101))</f>
        <v/>
      </c>
      <c r="AD101" s="25" t="str">
        <f aca="false">IF(OR(AC101="",N(Z101)=0),"",AC101/Z101)</f>
        <v/>
      </c>
      <c r="AE101" s="25" t="str">
        <f aca="false">IF(OR(S101="",N(Z101)=0),"",IF($B101="Short",-1,1)*(S101-H101)*G101/Z101)</f>
        <v/>
      </c>
      <c r="AF101" s="25" t="str">
        <f aca="false">IF(OR(T101="",N(Z101)=0),"",IF($B101="Short",-1,1)*(T101-H101)*G101/Z101)</f>
        <v/>
      </c>
      <c r="AG101" s="21" t="str">
        <f aca="false">IF(U101&lt;&gt;"Open","",Y101*MAX(0,IF($B101="Short",-1,1)*(H101-IF(K101="",I101,K101))))</f>
        <v/>
      </c>
      <c r="AH101" s="26" t="str">
        <f aca="false">IF(U101&lt;&gt;"Closed","",DATE(YEAR(P101),MONTH(P101),1))</f>
        <v/>
      </c>
      <c r="AI101" s="19" t="str">
        <f aca="false">IF(U101&lt;&gt;"Closed","",COUNTIFS($U$7:$U$506,"Closed",$P$7:$P$506,"&lt;"&amp;P101)+COUNTIFS($U$7:U101,"Closed",$P$7:P101,P101))</f>
        <v/>
      </c>
    </row>
    <row r="102" customFormat="false" ht="15" hidden="false" customHeight="false" outlineLevel="0" collapsed="false">
      <c r="A102" s="13"/>
      <c r="B102" s="14"/>
      <c r="C102" s="14"/>
      <c r="D102" s="14"/>
      <c r="E102" s="15"/>
      <c r="F102" s="15"/>
      <c r="G102" s="16"/>
      <c r="H102" s="17"/>
      <c r="I102" s="17"/>
      <c r="J102" s="17"/>
      <c r="K102" s="17"/>
      <c r="L102" s="16"/>
      <c r="M102" s="17"/>
      <c r="N102" s="16"/>
      <c r="O102" s="17"/>
      <c r="P102" s="15"/>
      <c r="Q102" s="17"/>
      <c r="R102" s="17"/>
      <c r="S102" s="17"/>
      <c r="T102" s="17"/>
      <c r="U102" s="18" t="str">
        <f aca="false">IF(A102="","",IF(N(G102)-N(L102)-N(N102)&lt;0,"Check shares",IF(AND(P102&lt;&gt;"",Q102&lt;&gt;""),"Closed","Open")))</f>
        <v/>
      </c>
      <c r="V102" s="19" t="str">
        <f aca="false">IF(OR(F102="",P102=""),"",NETWORKDAYS(F102,P102,Lists!$F$5:$F$40)-1)</f>
        <v/>
      </c>
      <c r="W102" s="18" t="str">
        <f aca="false">IF(V102="","",IF(V102=0,"Same day","Overnight"))</f>
        <v/>
      </c>
      <c r="X102" s="18" t="str">
        <f aca="false">IF(OR(E102="",F102=""),"",IF(AND(E102&gt;=F102,OR(P102="",E102&lt;=P102)),"Yes","No"))</f>
        <v/>
      </c>
      <c r="Y102" s="20" t="str">
        <f aca="false">IF(A102="","",N(G102)-N(L102)-N(N102))</f>
        <v/>
      </c>
      <c r="Z102" s="21" t="str">
        <f aca="false">IF(OR(G102="",H102="",I102=""),"",ABS(H102-I102)*G102)</f>
        <v/>
      </c>
      <c r="AA102" s="22" t="str">
        <f aca="false">IF(OR(J102="",N(Z102)=0),"",ABS(J102-H102)/ABS(H102-I102))</f>
        <v/>
      </c>
      <c r="AB102" s="23" t="str">
        <f aca="false">IF(U102&lt;&gt;"Closed","",(N(L102)*N(M102)+N(N102)*N(O102)+Y102*Q102)/G102)</f>
        <v/>
      </c>
      <c r="AC102" s="24" t="str">
        <f aca="false">IF(U102&lt;&gt;"Closed","",IF($B102="Short",-1,1)*((N(M102)-H102)*N(L102)+(N(O102)-H102)*N(N102)+(Q102-H102)*Y102)-N(R102))</f>
        <v/>
      </c>
      <c r="AD102" s="25" t="str">
        <f aca="false">IF(OR(AC102="",N(Z102)=0),"",AC102/Z102)</f>
        <v/>
      </c>
      <c r="AE102" s="25" t="str">
        <f aca="false">IF(OR(S102="",N(Z102)=0),"",IF($B102="Short",-1,1)*(S102-H102)*G102/Z102)</f>
        <v/>
      </c>
      <c r="AF102" s="25" t="str">
        <f aca="false">IF(OR(T102="",N(Z102)=0),"",IF($B102="Short",-1,1)*(T102-H102)*G102/Z102)</f>
        <v/>
      </c>
      <c r="AG102" s="21" t="str">
        <f aca="false">IF(U102&lt;&gt;"Open","",Y102*MAX(0,IF($B102="Short",-1,1)*(H102-IF(K102="",I102,K102))))</f>
        <v/>
      </c>
      <c r="AH102" s="26" t="str">
        <f aca="false">IF(U102&lt;&gt;"Closed","",DATE(YEAR(P102),MONTH(P102),1))</f>
        <v/>
      </c>
      <c r="AI102" s="19" t="str">
        <f aca="false">IF(U102&lt;&gt;"Closed","",COUNTIFS($U$7:$U$506,"Closed",$P$7:$P$506,"&lt;"&amp;P102)+COUNTIFS($U$7:U102,"Closed",$P$7:P102,P102))</f>
        <v/>
      </c>
    </row>
    <row r="103" customFormat="false" ht="15" hidden="false" customHeight="false" outlineLevel="0" collapsed="false">
      <c r="A103" s="13"/>
      <c r="B103" s="14"/>
      <c r="C103" s="14"/>
      <c r="D103" s="14"/>
      <c r="E103" s="15"/>
      <c r="F103" s="15"/>
      <c r="G103" s="16"/>
      <c r="H103" s="17"/>
      <c r="I103" s="17"/>
      <c r="J103" s="17"/>
      <c r="K103" s="17"/>
      <c r="L103" s="16"/>
      <c r="M103" s="17"/>
      <c r="N103" s="16"/>
      <c r="O103" s="17"/>
      <c r="P103" s="15"/>
      <c r="Q103" s="17"/>
      <c r="R103" s="17"/>
      <c r="S103" s="17"/>
      <c r="T103" s="17"/>
      <c r="U103" s="18" t="str">
        <f aca="false">IF(A103="","",IF(N(G103)-N(L103)-N(N103)&lt;0,"Check shares",IF(AND(P103&lt;&gt;"",Q103&lt;&gt;""),"Closed","Open")))</f>
        <v/>
      </c>
      <c r="V103" s="19" t="str">
        <f aca="false">IF(OR(F103="",P103=""),"",NETWORKDAYS(F103,P103,Lists!$F$5:$F$40)-1)</f>
        <v/>
      </c>
      <c r="W103" s="18" t="str">
        <f aca="false">IF(V103="","",IF(V103=0,"Same day","Overnight"))</f>
        <v/>
      </c>
      <c r="X103" s="18" t="str">
        <f aca="false">IF(OR(E103="",F103=""),"",IF(AND(E103&gt;=F103,OR(P103="",E103&lt;=P103)),"Yes","No"))</f>
        <v/>
      </c>
      <c r="Y103" s="20" t="str">
        <f aca="false">IF(A103="","",N(G103)-N(L103)-N(N103))</f>
        <v/>
      </c>
      <c r="Z103" s="21" t="str">
        <f aca="false">IF(OR(G103="",H103="",I103=""),"",ABS(H103-I103)*G103)</f>
        <v/>
      </c>
      <c r="AA103" s="22" t="str">
        <f aca="false">IF(OR(J103="",N(Z103)=0),"",ABS(J103-H103)/ABS(H103-I103))</f>
        <v/>
      </c>
      <c r="AB103" s="23" t="str">
        <f aca="false">IF(U103&lt;&gt;"Closed","",(N(L103)*N(M103)+N(N103)*N(O103)+Y103*Q103)/G103)</f>
        <v/>
      </c>
      <c r="AC103" s="24" t="str">
        <f aca="false">IF(U103&lt;&gt;"Closed","",IF($B103="Short",-1,1)*((N(M103)-H103)*N(L103)+(N(O103)-H103)*N(N103)+(Q103-H103)*Y103)-N(R103))</f>
        <v/>
      </c>
      <c r="AD103" s="25" t="str">
        <f aca="false">IF(OR(AC103="",N(Z103)=0),"",AC103/Z103)</f>
        <v/>
      </c>
      <c r="AE103" s="25" t="str">
        <f aca="false">IF(OR(S103="",N(Z103)=0),"",IF($B103="Short",-1,1)*(S103-H103)*G103/Z103)</f>
        <v/>
      </c>
      <c r="AF103" s="25" t="str">
        <f aca="false">IF(OR(T103="",N(Z103)=0),"",IF($B103="Short",-1,1)*(T103-H103)*G103/Z103)</f>
        <v/>
      </c>
      <c r="AG103" s="21" t="str">
        <f aca="false">IF(U103&lt;&gt;"Open","",Y103*MAX(0,IF($B103="Short",-1,1)*(H103-IF(K103="",I103,K103))))</f>
        <v/>
      </c>
      <c r="AH103" s="26" t="str">
        <f aca="false">IF(U103&lt;&gt;"Closed","",DATE(YEAR(P103),MONTH(P103),1))</f>
        <v/>
      </c>
      <c r="AI103" s="19" t="str">
        <f aca="false">IF(U103&lt;&gt;"Closed","",COUNTIFS($U$7:$U$506,"Closed",$P$7:$P$506,"&lt;"&amp;P103)+COUNTIFS($U$7:U103,"Closed",$P$7:P103,P103))</f>
        <v/>
      </c>
    </row>
    <row r="104" customFormat="false" ht="15" hidden="false" customHeight="false" outlineLevel="0" collapsed="false">
      <c r="A104" s="13"/>
      <c r="B104" s="14"/>
      <c r="C104" s="14"/>
      <c r="D104" s="14"/>
      <c r="E104" s="15"/>
      <c r="F104" s="15"/>
      <c r="G104" s="16"/>
      <c r="H104" s="17"/>
      <c r="I104" s="17"/>
      <c r="J104" s="17"/>
      <c r="K104" s="17"/>
      <c r="L104" s="16"/>
      <c r="M104" s="17"/>
      <c r="N104" s="16"/>
      <c r="O104" s="17"/>
      <c r="P104" s="15"/>
      <c r="Q104" s="17"/>
      <c r="R104" s="17"/>
      <c r="S104" s="17"/>
      <c r="T104" s="17"/>
      <c r="U104" s="18" t="str">
        <f aca="false">IF(A104="","",IF(N(G104)-N(L104)-N(N104)&lt;0,"Check shares",IF(AND(P104&lt;&gt;"",Q104&lt;&gt;""),"Closed","Open")))</f>
        <v/>
      </c>
      <c r="V104" s="19" t="str">
        <f aca="false">IF(OR(F104="",P104=""),"",NETWORKDAYS(F104,P104,Lists!$F$5:$F$40)-1)</f>
        <v/>
      </c>
      <c r="W104" s="18" t="str">
        <f aca="false">IF(V104="","",IF(V104=0,"Same day","Overnight"))</f>
        <v/>
      </c>
      <c r="X104" s="18" t="str">
        <f aca="false">IF(OR(E104="",F104=""),"",IF(AND(E104&gt;=F104,OR(P104="",E104&lt;=P104)),"Yes","No"))</f>
        <v/>
      </c>
      <c r="Y104" s="20" t="str">
        <f aca="false">IF(A104="","",N(G104)-N(L104)-N(N104))</f>
        <v/>
      </c>
      <c r="Z104" s="21" t="str">
        <f aca="false">IF(OR(G104="",H104="",I104=""),"",ABS(H104-I104)*G104)</f>
        <v/>
      </c>
      <c r="AA104" s="22" t="str">
        <f aca="false">IF(OR(J104="",N(Z104)=0),"",ABS(J104-H104)/ABS(H104-I104))</f>
        <v/>
      </c>
      <c r="AB104" s="23" t="str">
        <f aca="false">IF(U104&lt;&gt;"Closed","",(N(L104)*N(M104)+N(N104)*N(O104)+Y104*Q104)/G104)</f>
        <v/>
      </c>
      <c r="AC104" s="24" t="str">
        <f aca="false">IF(U104&lt;&gt;"Closed","",IF($B104="Short",-1,1)*((N(M104)-H104)*N(L104)+(N(O104)-H104)*N(N104)+(Q104-H104)*Y104)-N(R104))</f>
        <v/>
      </c>
      <c r="AD104" s="25" t="str">
        <f aca="false">IF(OR(AC104="",N(Z104)=0),"",AC104/Z104)</f>
        <v/>
      </c>
      <c r="AE104" s="25" t="str">
        <f aca="false">IF(OR(S104="",N(Z104)=0),"",IF($B104="Short",-1,1)*(S104-H104)*G104/Z104)</f>
        <v/>
      </c>
      <c r="AF104" s="25" t="str">
        <f aca="false">IF(OR(T104="",N(Z104)=0),"",IF($B104="Short",-1,1)*(T104-H104)*G104/Z104)</f>
        <v/>
      </c>
      <c r="AG104" s="21" t="str">
        <f aca="false">IF(U104&lt;&gt;"Open","",Y104*MAX(0,IF($B104="Short",-1,1)*(H104-IF(K104="",I104,K104))))</f>
        <v/>
      </c>
      <c r="AH104" s="26" t="str">
        <f aca="false">IF(U104&lt;&gt;"Closed","",DATE(YEAR(P104),MONTH(P104),1))</f>
        <v/>
      </c>
      <c r="AI104" s="19" t="str">
        <f aca="false">IF(U104&lt;&gt;"Closed","",COUNTIFS($U$7:$U$506,"Closed",$P$7:$P$506,"&lt;"&amp;P104)+COUNTIFS($U$7:U104,"Closed",$P$7:P104,P104))</f>
        <v/>
      </c>
    </row>
    <row r="105" customFormat="false" ht="15" hidden="false" customHeight="false" outlineLevel="0" collapsed="false">
      <c r="A105" s="13"/>
      <c r="B105" s="14"/>
      <c r="C105" s="14"/>
      <c r="D105" s="14"/>
      <c r="E105" s="15"/>
      <c r="F105" s="15"/>
      <c r="G105" s="16"/>
      <c r="H105" s="17"/>
      <c r="I105" s="17"/>
      <c r="J105" s="17"/>
      <c r="K105" s="17"/>
      <c r="L105" s="16"/>
      <c r="M105" s="17"/>
      <c r="N105" s="16"/>
      <c r="O105" s="17"/>
      <c r="P105" s="15"/>
      <c r="Q105" s="17"/>
      <c r="R105" s="17"/>
      <c r="S105" s="17"/>
      <c r="T105" s="17"/>
      <c r="U105" s="18" t="str">
        <f aca="false">IF(A105="","",IF(N(G105)-N(L105)-N(N105)&lt;0,"Check shares",IF(AND(P105&lt;&gt;"",Q105&lt;&gt;""),"Closed","Open")))</f>
        <v/>
      </c>
      <c r="V105" s="19" t="str">
        <f aca="false">IF(OR(F105="",P105=""),"",NETWORKDAYS(F105,P105,Lists!$F$5:$F$40)-1)</f>
        <v/>
      </c>
      <c r="W105" s="18" t="str">
        <f aca="false">IF(V105="","",IF(V105=0,"Same day","Overnight"))</f>
        <v/>
      </c>
      <c r="X105" s="18" t="str">
        <f aca="false">IF(OR(E105="",F105=""),"",IF(AND(E105&gt;=F105,OR(P105="",E105&lt;=P105)),"Yes","No"))</f>
        <v/>
      </c>
      <c r="Y105" s="20" t="str">
        <f aca="false">IF(A105="","",N(G105)-N(L105)-N(N105))</f>
        <v/>
      </c>
      <c r="Z105" s="21" t="str">
        <f aca="false">IF(OR(G105="",H105="",I105=""),"",ABS(H105-I105)*G105)</f>
        <v/>
      </c>
      <c r="AA105" s="22" t="str">
        <f aca="false">IF(OR(J105="",N(Z105)=0),"",ABS(J105-H105)/ABS(H105-I105))</f>
        <v/>
      </c>
      <c r="AB105" s="23" t="str">
        <f aca="false">IF(U105&lt;&gt;"Closed","",(N(L105)*N(M105)+N(N105)*N(O105)+Y105*Q105)/G105)</f>
        <v/>
      </c>
      <c r="AC105" s="24" t="str">
        <f aca="false">IF(U105&lt;&gt;"Closed","",IF($B105="Short",-1,1)*((N(M105)-H105)*N(L105)+(N(O105)-H105)*N(N105)+(Q105-H105)*Y105)-N(R105))</f>
        <v/>
      </c>
      <c r="AD105" s="25" t="str">
        <f aca="false">IF(OR(AC105="",N(Z105)=0),"",AC105/Z105)</f>
        <v/>
      </c>
      <c r="AE105" s="25" t="str">
        <f aca="false">IF(OR(S105="",N(Z105)=0),"",IF($B105="Short",-1,1)*(S105-H105)*G105/Z105)</f>
        <v/>
      </c>
      <c r="AF105" s="25" t="str">
        <f aca="false">IF(OR(T105="",N(Z105)=0),"",IF($B105="Short",-1,1)*(T105-H105)*G105/Z105)</f>
        <v/>
      </c>
      <c r="AG105" s="21" t="str">
        <f aca="false">IF(U105&lt;&gt;"Open","",Y105*MAX(0,IF($B105="Short",-1,1)*(H105-IF(K105="",I105,K105))))</f>
        <v/>
      </c>
      <c r="AH105" s="26" t="str">
        <f aca="false">IF(U105&lt;&gt;"Closed","",DATE(YEAR(P105),MONTH(P105),1))</f>
        <v/>
      </c>
      <c r="AI105" s="19" t="str">
        <f aca="false">IF(U105&lt;&gt;"Closed","",COUNTIFS($U$7:$U$506,"Closed",$P$7:$P$506,"&lt;"&amp;P105)+COUNTIFS($U$7:U105,"Closed",$P$7:P105,P105))</f>
        <v/>
      </c>
    </row>
    <row r="106" customFormat="false" ht="15" hidden="false" customHeight="false" outlineLevel="0" collapsed="false">
      <c r="A106" s="13"/>
      <c r="B106" s="14"/>
      <c r="C106" s="14"/>
      <c r="D106" s="14"/>
      <c r="E106" s="15"/>
      <c r="F106" s="15"/>
      <c r="G106" s="16"/>
      <c r="H106" s="17"/>
      <c r="I106" s="17"/>
      <c r="J106" s="17"/>
      <c r="K106" s="17"/>
      <c r="L106" s="16"/>
      <c r="M106" s="17"/>
      <c r="N106" s="16"/>
      <c r="O106" s="17"/>
      <c r="P106" s="15"/>
      <c r="Q106" s="17"/>
      <c r="R106" s="17"/>
      <c r="S106" s="17"/>
      <c r="T106" s="17"/>
      <c r="U106" s="18" t="str">
        <f aca="false">IF(A106="","",IF(N(G106)-N(L106)-N(N106)&lt;0,"Check shares",IF(AND(P106&lt;&gt;"",Q106&lt;&gt;""),"Closed","Open")))</f>
        <v/>
      </c>
      <c r="V106" s="19" t="str">
        <f aca="false">IF(OR(F106="",P106=""),"",NETWORKDAYS(F106,P106,Lists!$F$5:$F$40)-1)</f>
        <v/>
      </c>
      <c r="W106" s="18" t="str">
        <f aca="false">IF(V106="","",IF(V106=0,"Same day","Overnight"))</f>
        <v/>
      </c>
      <c r="X106" s="18" t="str">
        <f aca="false">IF(OR(E106="",F106=""),"",IF(AND(E106&gt;=F106,OR(P106="",E106&lt;=P106)),"Yes","No"))</f>
        <v/>
      </c>
      <c r="Y106" s="20" t="str">
        <f aca="false">IF(A106="","",N(G106)-N(L106)-N(N106))</f>
        <v/>
      </c>
      <c r="Z106" s="21" t="str">
        <f aca="false">IF(OR(G106="",H106="",I106=""),"",ABS(H106-I106)*G106)</f>
        <v/>
      </c>
      <c r="AA106" s="22" t="str">
        <f aca="false">IF(OR(J106="",N(Z106)=0),"",ABS(J106-H106)/ABS(H106-I106))</f>
        <v/>
      </c>
      <c r="AB106" s="23" t="str">
        <f aca="false">IF(U106&lt;&gt;"Closed","",(N(L106)*N(M106)+N(N106)*N(O106)+Y106*Q106)/G106)</f>
        <v/>
      </c>
      <c r="AC106" s="24" t="str">
        <f aca="false">IF(U106&lt;&gt;"Closed","",IF($B106="Short",-1,1)*((N(M106)-H106)*N(L106)+(N(O106)-H106)*N(N106)+(Q106-H106)*Y106)-N(R106))</f>
        <v/>
      </c>
      <c r="AD106" s="25" t="str">
        <f aca="false">IF(OR(AC106="",N(Z106)=0),"",AC106/Z106)</f>
        <v/>
      </c>
      <c r="AE106" s="25" t="str">
        <f aca="false">IF(OR(S106="",N(Z106)=0),"",IF($B106="Short",-1,1)*(S106-H106)*G106/Z106)</f>
        <v/>
      </c>
      <c r="AF106" s="25" t="str">
        <f aca="false">IF(OR(T106="",N(Z106)=0),"",IF($B106="Short",-1,1)*(T106-H106)*G106/Z106)</f>
        <v/>
      </c>
      <c r="AG106" s="21" t="str">
        <f aca="false">IF(U106&lt;&gt;"Open","",Y106*MAX(0,IF($B106="Short",-1,1)*(H106-IF(K106="",I106,K106))))</f>
        <v/>
      </c>
      <c r="AH106" s="26" t="str">
        <f aca="false">IF(U106&lt;&gt;"Closed","",DATE(YEAR(P106),MONTH(P106),1))</f>
        <v/>
      </c>
      <c r="AI106" s="19" t="str">
        <f aca="false">IF(U106&lt;&gt;"Closed","",COUNTIFS($U$7:$U$506,"Closed",$P$7:$P$506,"&lt;"&amp;P106)+COUNTIFS($U$7:U106,"Closed",$P$7:P106,P106))</f>
        <v/>
      </c>
    </row>
    <row r="107" customFormat="false" ht="15" hidden="false" customHeight="false" outlineLevel="0" collapsed="false">
      <c r="A107" s="13"/>
      <c r="B107" s="14"/>
      <c r="C107" s="14"/>
      <c r="D107" s="14"/>
      <c r="E107" s="15"/>
      <c r="F107" s="15"/>
      <c r="G107" s="16"/>
      <c r="H107" s="17"/>
      <c r="I107" s="17"/>
      <c r="J107" s="17"/>
      <c r="K107" s="17"/>
      <c r="L107" s="16"/>
      <c r="M107" s="17"/>
      <c r="N107" s="16"/>
      <c r="O107" s="17"/>
      <c r="P107" s="15"/>
      <c r="Q107" s="17"/>
      <c r="R107" s="17"/>
      <c r="S107" s="17"/>
      <c r="T107" s="17"/>
      <c r="U107" s="18" t="str">
        <f aca="false">IF(A107="","",IF(N(G107)-N(L107)-N(N107)&lt;0,"Check shares",IF(AND(P107&lt;&gt;"",Q107&lt;&gt;""),"Closed","Open")))</f>
        <v/>
      </c>
      <c r="V107" s="19" t="str">
        <f aca="false">IF(OR(F107="",P107=""),"",NETWORKDAYS(F107,P107,Lists!$F$5:$F$40)-1)</f>
        <v/>
      </c>
      <c r="W107" s="18" t="str">
        <f aca="false">IF(V107="","",IF(V107=0,"Same day","Overnight"))</f>
        <v/>
      </c>
      <c r="X107" s="18" t="str">
        <f aca="false">IF(OR(E107="",F107=""),"",IF(AND(E107&gt;=F107,OR(P107="",E107&lt;=P107)),"Yes","No"))</f>
        <v/>
      </c>
      <c r="Y107" s="20" t="str">
        <f aca="false">IF(A107="","",N(G107)-N(L107)-N(N107))</f>
        <v/>
      </c>
      <c r="Z107" s="21" t="str">
        <f aca="false">IF(OR(G107="",H107="",I107=""),"",ABS(H107-I107)*G107)</f>
        <v/>
      </c>
      <c r="AA107" s="22" t="str">
        <f aca="false">IF(OR(J107="",N(Z107)=0),"",ABS(J107-H107)/ABS(H107-I107))</f>
        <v/>
      </c>
      <c r="AB107" s="23" t="str">
        <f aca="false">IF(U107&lt;&gt;"Closed","",(N(L107)*N(M107)+N(N107)*N(O107)+Y107*Q107)/G107)</f>
        <v/>
      </c>
      <c r="AC107" s="24" t="str">
        <f aca="false">IF(U107&lt;&gt;"Closed","",IF($B107="Short",-1,1)*((N(M107)-H107)*N(L107)+(N(O107)-H107)*N(N107)+(Q107-H107)*Y107)-N(R107))</f>
        <v/>
      </c>
      <c r="AD107" s="25" t="str">
        <f aca="false">IF(OR(AC107="",N(Z107)=0),"",AC107/Z107)</f>
        <v/>
      </c>
      <c r="AE107" s="25" t="str">
        <f aca="false">IF(OR(S107="",N(Z107)=0),"",IF($B107="Short",-1,1)*(S107-H107)*G107/Z107)</f>
        <v/>
      </c>
      <c r="AF107" s="25" t="str">
        <f aca="false">IF(OR(T107="",N(Z107)=0),"",IF($B107="Short",-1,1)*(T107-H107)*G107/Z107)</f>
        <v/>
      </c>
      <c r="AG107" s="21" t="str">
        <f aca="false">IF(U107&lt;&gt;"Open","",Y107*MAX(0,IF($B107="Short",-1,1)*(H107-IF(K107="",I107,K107))))</f>
        <v/>
      </c>
      <c r="AH107" s="26" t="str">
        <f aca="false">IF(U107&lt;&gt;"Closed","",DATE(YEAR(P107),MONTH(P107),1))</f>
        <v/>
      </c>
      <c r="AI107" s="19" t="str">
        <f aca="false">IF(U107&lt;&gt;"Closed","",COUNTIFS($U$7:$U$506,"Closed",$P$7:$P$506,"&lt;"&amp;P107)+COUNTIFS($U$7:U107,"Closed",$P$7:P107,P107))</f>
        <v/>
      </c>
    </row>
    <row r="108" customFormat="false" ht="15" hidden="false" customHeight="false" outlineLevel="0" collapsed="false">
      <c r="A108" s="13"/>
      <c r="B108" s="14"/>
      <c r="C108" s="14"/>
      <c r="D108" s="14"/>
      <c r="E108" s="15"/>
      <c r="F108" s="15"/>
      <c r="G108" s="16"/>
      <c r="H108" s="17"/>
      <c r="I108" s="17"/>
      <c r="J108" s="17"/>
      <c r="K108" s="17"/>
      <c r="L108" s="16"/>
      <c r="M108" s="17"/>
      <c r="N108" s="16"/>
      <c r="O108" s="17"/>
      <c r="P108" s="15"/>
      <c r="Q108" s="17"/>
      <c r="R108" s="17"/>
      <c r="S108" s="17"/>
      <c r="T108" s="17"/>
      <c r="U108" s="18" t="str">
        <f aca="false">IF(A108="","",IF(N(G108)-N(L108)-N(N108)&lt;0,"Check shares",IF(AND(P108&lt;&gt;"",Q108&lt;&gt;""),"Closed","Open")))</f>
        <v/>
      </c>
      <c r="V108" s="19" t="str">
        <f aca="false">IF(OR(F108="",P108=""),"",NETWORKDAYS(F108,P108,Lists!$F$5:$F$40)-1)</f>
        <v/>
      </c>
      <c r="W108" s="18" t="str">
        <f aca="false">IF(V108="","",IF(V108=0,"Same day","Overnight"))</f>
        <v/>
      </c>
      <c r="X108" s="18" t="str">
        <f aca="false">IF(OR(E108="",F108=""),"",IF(AND(E108&gt;=F108,OR(P108="",E108&lt;=P108)),"Yes","No"))</f>
        <v/>
      </c>
      <c r="Y108" s="20" t="str">
        <f aca="false">IF(A108="","",N(G108)-N(L108)-N(N108))</f>
        <v/>
      </c>
      <c r="Z108" s="21" t="str">
        <f aca="false">IF(OR(G108="",H108="",I108=""),"",ABS(H108-I108)*G108)</f>
        <v/>
      </c>
      <c r="AA108" s="22" t="str">
        <f aca="false">IF(OR(J108="",N(Z108)=0),"",ABS(J108-H108)/ABS(H108-I108))</f>
        <v/>
      </c>
      <c r="AB108" s="23" t="str">
        <f aca="false">IF(U108&lt;&gt;"Closed","",(N(L108)*N(M108)+N(N108)*N(O108)+Y108*Q108)/G108)</f>
        <v/>
      </c>
      <c r="AC108" s="24" t="str">
        <f aca="false">IF(U108&lt;&gt;"Closed","",IF($B108="Short",-1,1)*((N(M108)-H108)*N(L108)+(N(O108)-H108)*N(N108)+(Q108-H108)*Y108)-N(R108))</f>
        <v/>
      </c>
      <c r="AD108" s="25" t="str">
        <f aca="false">IF(OR(AC108="",N(Z108)=0),"",AC108/Z108)</f>
        <v/>
      </c>
      <c r="AE108" s="25" t="str">
        <f aca="false">IF(OR(S108="",N(Z108)=0),"",IF($B108="Short",-1,1)*(S108-H108)*G108/Z108)</f>
        <v/>
      </c>
      <c r="AF108" s="25" t="str">
        <f aca="false">IF(OR(T108="",N(Z108)=0),"",IF($B108="Short",-1,1)*(T108-H108)*G108/Z108)</f>
        <v/>
      </c>
      <c r="AG108" s="21" t="str">
        <f aca="false">IF(U108&lt;&gt;"Open","",Y108*MAX(0,IF($B108="Short",-1,1)*(H108-IF(K108="",I108,K108))))</f>
        <v/>
      </c>
      <c r="AH108" s="26" t="str">
        <f aca="false">IF(U108&lt;&gt;"Closed","",DATE(YEAR(P108),MONTH(P108),1))</f>
        <v/>
      </c>
      <c r="AI108" s="19" t="str">
        <f aca="false">IF(U108&lt;&gt;"Closed","",COUNTIFS($U$7:$U$506,"Closed",$P$7:$P$506,"&lt;"&amp;P108)+COUNTIFS($U$7:U108,"Closed",$P$7:P108,P108))</f>
        <v/>
      </c>
    </row>
    <row r="109" customFormat="false" ht="15" hidden="false" customHeight="false" outlineLevel="0" collapsed="false">
      <c r="A109" s="13"/>
      <c r="B109" s="14"/>
      <c r="C109" s="14"/>
      <c r="D109" s="14"/>
      <c r="E109" s="15"/>
      <c r="F109" s="15"/>
      <c r="G109" s="16"/>
      <c r="H109" s="17"/>
      <c r="I109" s="17"/>
      <c r="J109" s="17"/>
      <c r="K109" s="17"/>
      <c r="L109" s="16"/>
      <c r="M109" s="17"/>
      <c r="N109" s="16"/>
      <c r="O109" s="17"/>
      <c r="P109" s="15"/>
      <c r="Q109" s="17"/>
      <c r="R109" s="17"/>
      <c r="S109" s="17"/>
      <c r="T109" s="17"/>
      <c r="U109" s="18" t="str">
        <f aca="false">IF(A109="","",IF(N(G109)-N(L109)-N(N109)&lt;0,"Check shares",IF(AND(P109&lt;&gt;"",Q109&lt;&gt;""),"Closed","Open")))</f>
        <v/>
      </c>
      <c r="V109" s="19" t="str">
        <f aca="false">IF(OR(F109="",P109=""),"",NETWORKDAYS(F109,P109,Lists!$F$5:$F$40)-1)</f>
        <v/>
      </c>
      <c r="W109" s="18" t="str">
        <f aca="false">IF(V109="","",IF(V109=0,"Same day","Overnight"))</f>
        <v/>
      </c>
      <c r="X109" s="18" t="str">
        <f aca="false">IF(OR(E109="",F109=""),"",IF(AND(E109&gt;=F109,OR(P109="",E109&lt;=P109)),"Yes","No"))</f>
        <v/>
      </c>
      <c r="Y109" s="20" t="str">
        <f aca="false">IF(A109="","",N(G109)-N(L109)-N(N109))</f>
        <v/>
      </c>
      <c r="Z109" s="21" t="str">
        <f aca="false">IF(OR(G109="",H109="",I109=""),"",ABS(H109-I109)*G109)</f>
        <v/>
      </c>
      <c r="AA109" s="22" t="str">
        <f aca="false">IF(OR(J109="",N(Z109)=0),"",ABS(J109-H109)/ABS(H109-I109))</f>
        <v/>
      </c>
      <c r="AB109" s="23" t="str">
        <f aca="false">IF(U109&lt;&gt;"Closed","",(N(L109)*N(M109)+N(N109)*N(O109)+Y109*Q109)/G109)</f>
        <v/>
      </c>
      <c r="AC109" s="24" t="str">
        <f aca="false">IF(U109&lt;&gt;"Closed","",IF($B109="Short",-1,1)*((N(M109)-H109)*N(L109)+(N(O109)-H109)*N(N109)+(Q109-H109)*Y109)-N(R109))</f>
        <v/>
      </c>
      <c r="AD109" s="25" t="str">
        <f aca="false">IF(OR(AC109="",N(Z109)=0),"",AC109/Z109)</f>
        <v/>
      </c>
      <c r="AE109" s="25" t="str">
        <f aca="false">IF(OR(S109="",N(Z109)=0),"",IF($B109="Short",-1,1)*(S109-H109)*G109/Z109)</f>
        <v/>
      </c>
      <c r="AF109" s="25" t="str">
        <f aca="false">IF(OR(T109="",N(Z109)=0),"",IF($B109="Short",-1,1)*(T109-H109)*G109/Z109)</f>
        <v/>
      </c>
      <c r="AG109" s="21" t="str">
        <f aca="false">IF(U109&lt;&gt;"Open","",Y109*MAX(0,IF($B109="Short",-1,1)*(H109-IF(K109="",I109,K109))))</f>
        <v/>
      </c>
      <c r="AH109" s="26" t="str">
        <f aca="false">IF(U109&lt;&gt;"Closed","",DATE(YEAR(P109),MONTH(P109),1))</f>
        <v/>
      </c>
      <c r="AI109" s="19" t="str">
        <f aca="false">IF(U109&lt;&gt;"Closed","",COUNTIFS($U$7:$U$506,"Closed",$P$7:$P$506,"&lt;"&amp;P109)+COUNTIFS($U$7:U109,"Closed",$P$7:P109,P109))</f>
        <v/>
      </c>
    </row>
    <row r="110" customFormat="false" ht="15" hidden="false" customHeight="false" outlineLevel="0" collapsed="false">
      <c r="A110" s="13"/>
      <c r="B110" s="14"/>
      <c r="C110" s="14"/>
      <c r="D110" s="14"/>
      <c r="E110" s="15"/>
      <c r="F110" s="15"/>
      <c r="G110" s="16"/>
      <c r="H110" s="17"/>
      <c r="I110" s="17"/>
      <c r="J110" s="17"/>
      <c r="K110" s="17"/>
      <c r="L110" s="16"/>
      <c r="M110" s="17"/>
      <c r="N110" s="16"/>
      <c r="O110" s="17"/>
      <c r="P110" s="15"/>
      <c r="Q110" s="17"/>
      <c r="R110" s="17"/>
      <c r="S110" s="17"/>
      <c r="T110" s="17"/>
      <c r="U110" s="18" t="str">
        <f aca="false">IF(A110="","",IF(N(G110)-N(L110)-N(N110)&lt;0,"Check shares",IF(AND(P110&lt;&gt;"",Q110&lt;&gt;""),"Closed","Open")))</f>
        <v/>
      </c>
      <c r="V110" s="19" t="str">
        <f aca="false">IF(OR(F110="",P110=""),"",NETWORKDAYS(F110,P110,Lists!$F$5:$F$40)-1)</f>
        <v/>
      </c>
      <c r="W110" s="18" t="str">
        <f aca="false">IF(V110="","",IF(V110=0,"Same day","Overnight"))</f>
        <v/>
      </c>
      <c r="X110" s="18" t="str">
        <f aca="false">IF(OR(E110="",F110=""),"",IF(AND(E110&gt;=F110,OR(P110="",E110&lt;=P110)),"Yes","No"))</f>
        <v/>
      </c>
      <c r="Y110" s="20" t="str">
        <f aca="false">IF(A110="","",N(G110)-N(L110)-N(N110))</f>
        <v/>
      </c>
      <c r="Z110" s="21" t="str">
        <f aca="false">IF(OR(G110="",H110="",I110=""),"",ABS(H110-I110)*G110)</f>
        <v/>
      </c>
      <c r="AA110" s="22" t="str">
        <f aca="false">IF(OR(J110="",N(Z110)=0),"",ABS(J110-H110)/ABS(H110-I110))</f>
        <v/>
      </c>
      <c r="AB110" s="23" t="str">
        <f aca="false">IF(U110&lt;&gt;"Closed","",(N(L110)*N(M110)+N(N110)*N(O110)+Y110*Q110)/G110)</f>
        <v/>
      </c>
      <c r="AC110" s="24" t="str">
        <f aca="false">IF(U110&lt;&gt;"Closed","",IF($B110="Short",-1,1)*((N(M110)-H110)*N(L110)+(N(O110)-H110)*N(N110)+(Q110-H110)*Y110)-N(R110))</f>
        <v/>
      </c>
      <c r="AD110" s="25" t="str">
        <f aca="false">IF(OR(AC110="",N(Z110)=0),"",AC110/Z110)</f>
        <v/>
      </c>
      <c r="AE110" s="25" t="str">
        <f aca="false">IF(OR(S110="",N(Z110)=0),"",IF($B110="Short",-1,1)*(S110-H110)*G110/Z110)</f>
        <v/>
      </c>
      <c r="AF110" s="25" t="str">
        <f aca="false">IF(OR(T110="",N(Z110)=0),"",IF($B110="Short",-1,1)*(T110-H110)*G110/Z110)</f>
        <v/>
      </c>
      <c r="AG110" s="21" t="str">
        <f aca="false">IF(U110&lt;&gt;"Open","",Y110*MAX(0,IF($B110="Short",-1,1)*(H110-IF(K110="",I110,K110))))</f>
        <v/>
      </c>
      <c r="AH110" s="26" t="str">
        <f aca="false">IF(U110&lt;&gt;"Closed","",DATE(YEAR(P110),MONTH(P110),1))</f>
        <v/>
      </c>
      <c r="AI110" s="19" t="str">
        <f aca="false">IF(U110&lt;&gt;"Closed","",COUNTIFS($U$7:$U$506,"Closed",$P$7:$P$506,"&lt;"&amp;P110)+COUNTIFS($U$7:U110,"Closed",$P$7:P110,P110))</f>
        <v/>
      </c>
    </row>
    <row r="111" customFormat="false" ht="15" hidden="false" customHeight="false" outlineLevel="0" collapsed="false">
      <c r="A111" s="13"/>
      <c r="B111" s="14"/>
      <c r="C111" s="14"/>
      <c r="D111" s="14"/>
      <c r="E111" s="15"/>
      <c r="F111" s="15"/>
      <c r="G111" s="16"/>
      <c r="H111" s="17"/>
      <c r="I111" s="17"/>
      <c r="J111" s="17"/>
      <c r="K111" s="17"/>
      <c r="L111" s="16"/>
      <c r="M111" s="17"/>
      <c r="N111" s="16"/>
      <c r="O111" s="17"/>
      <c r="P111" s="15"/>
      <c r="Q111" s="17"/>
      <c r="R111" s="17"/>
      <c r="S111" s="17"/>
      <c r="T111" s="17"/>
      <c r="U111" s="18" t="str">
        <f aca="false">IF(A111="","",IF(N(G111)-N(L111)-N(N111)&lt;0,"Check shares",IF(AND(P111&lt;&gt;"",Q111&lt;&gt;""),"Closed","Open")))</f>
        <v/>
      </c>
      <c r="V111" s="19" t="str">
        <f aca="false">IF(OR(F111="",P111=""),"",NETWORKDAYS(F111,P111,Lists!$F$5:$F$40)-1)</f>
        <v/>
      </c>
      <c r="W111" s="18" t="str">
        <f aca="false">IF(V111="","",IF(V111=0,"Same day","Overnight"))</f>
        <v/>
      </c>
      <c r="X111" s="18" t="str">
        <f aca="false">IF(OR(E111="",F111=""),"",IF(AND(E111&gt;=F111,OR(P111="",E111&lt;=P111)),"Yes","No"))</f>
        <v/>
      </c>
      <c r="Y111" s="20" t="str">
        <f aca="false">IF(A111="","",N(G111)-N(L111)-N(N111))</f>
        <v/>
      </c>
      <c r="Z111" s="21" t="str">
        <f aca="false">IF(OR(G111="",H111="",I111=""),"",ABS(H111-I111)*G111)</f>
        <v/>
      </c>
      <c r="AA111" s="22" t="str">
        <f aca="false">IF(OR(J111="",N(Z111)=0),"",ABS(J111-H111)/ABS(H111-I111))</f>
        <v/>
      </c>
      <c r="AB111" s="23" t="str">
        <f aca="false">IF(U111&lt;&gt;"Closed","",(N(L111)*N(M111)+N(N111)*N(O111)+Y111*Q111)/G111)</f>
        <v/>
      </c>
      <c r="AC111" s="24" t="str">
        <f aca="false">IF(U111&lt;&gt;"Closed","",IF($B111="Short",-1,1)*((N(M111)-H111)*N(L111)+(N(O111)-H111)*N(N111)+(Q111-H111)*Y111)-N(R111))</f>
        <v/>
      </c>
      <c r="AD111" s="25" t="str">
        <f aca="false">IF(OR(AC111="",N(Z111)=0),"",AC111/Z111)</f>
        <v/>
      </c>
      <c r="AE111" s="25" t="str">
        <f aca="false">IF(OR(S111="",N(Z111)=0),"",IF($B111="Short",-1,1)*(S111-H111)*G111/Z111)</f>
        <v/>
      </c>
      <c r="AF111" s="25" t="str">
        <f aca="false">IF(OR(T111="",N(Z111)=0),"",IF($B111="Short",-1,1)*(T111-H111)*G111/Z111)</f>
        <v/>
      </c>
      <c r="AG111" s="21" t="str">
        <f aca="false">IF(U111&lt;&gt;"Open","",Y111*MAX(0,IF($B111="Short",-1,1)*(H111-IF(K111="",I111,K111))))</f>
        <v/>
      </c>
      <c r="AH111" s="26" t="str">
        <f aca="false">IF(U111&lt;&gt;"Closed","",DATE(YEAR(P111),MONTH(P111),1))</f>
        <v/>
      </c>
      <c r="AI111" s="19" t="str">
        <f aca="false">IF(U111&lt;&gt;"Closed","",COUNTIFS($U$7:$U$506,"Closed",$P$7:$P$506,"&lt;"&amp;P111)+COUNTIFS($U$7:U111,"Closed",$P$7:P111,P111))</f>
        <v/>
      </c>
    </row>
    <row r="112" customFormat="false" ht="15" hidden="false" customHeight="false" outlineLevel="0" collapsed="false">
      <c r="A112" s="13"/>
      <c r="B112" s="14"/>
      <c r="C112" s="14"/>
      <c r="D112" s="14"/>
      <c r="E112" s="15"/>
      <c r="F112" s="15"/>
      <c r="G112" s="16"/>
      <c r="H112" s="17"/>
      <c r="I112" s="17"/>
      <c r="J112" s="17"/>
      <c r="K112" s="17"/>
      <c r="L112" s="16"/>
      <c r="M112" s="17"/>
      <c r="N112" s="16"/>
      <c r="O112" s="17"/>
      <c r="P112" s="15"/>
      <c r="Q112" s="17"/>
      <c r="R112" s="17"/>
      <c r="S112" s="17"/>
      <c r="T112" s="17"/>
      <c r="U112" s="18" t="str">
        <f aca="false">IF(A112="","",IF(N(G112)-N(L112)-N(N112)&lt;0,"Check shares",IF(AND(P112&lt;&gt;"",Q112&lt;&gt;""),"Closed","Open")))</f>
        <v/>
      </c>
      <c r="V112" s="19" t="str">
        <f aca="false">IF(OR(F112="",P112=""),"",NETWORKDAYS(F112,P112,Lists!$F$5:$F$40)-1)</f>
        <v/>
      </c>
      <c r="W112" s="18" t="str">
        <f aca="false">IF(V112="","",IF(V112=0,"Same day","Overnight"))</f>
        <v/>
      </c>
      <c r="X112" s="18" t="str">
        <f aca="false">IF(OR(E112="",F112=""),"",IF(AND(E112&gt;=F112,OR(P112="",E112&lt;=P112)),"Yes","No"))</f>
        <v/>
      </c>
      <c r="Y112" s="20" t="str">
        <f aca="false">IF(A112="","",N(G112)-N(L112)-N(N112))</f>
        <v/>
      </c>
      <c r="Z112" s="21" t="str">
        <f aca="false">IF(OR(G112="",H112="",I112=""),"",ABS(H112-I112)*G112)</f>
        <v/>
      </c>
      <c r="AA112" s="22" t="str">
        <f aca="false">IF(OR(J112="",N(Z112)=0),"",ABS(J112-H112)/ABS(H112-I112))</f>
        <v/>
      </c>
      <c r="AB112" s="23" t="str">
        <f aca="false">IF(U112&lt;&gt;"Closed","",(N(L112)*N(M112)+N(N112)*N(O112)+Y112*Q112)/G112)</f>
        <v/>
      </c>
      <c r="AC112" s="24" t="str">
        <f aca="false">IF(U112&lt;&gt;"Closed","",IF($B112="Short",-1,1)*((N(M112)-H112)*N(L112)+(N(O112)-H112)*N(N112)+(Q112-H112)*Y112)-N(R112))</f>
        <v/>
      </c>
      <c r="AD112" s="25" t="str">
        <f aca="false">IF(OR(AC112="",N(Z112)=0),"",AC112/Z112)</f>
        <v/>
      </c>
      <c r="AE112" s="25" t="str">
        <f aca="false">IF(OR(S112="",N(Z112)=0),"",IF($B112="Short",-1,1)*(S112-H112)*G112/Z112)</f>
        <v/>
      </c>
      <c r="AF112" s="25" t="str">
        <f aca="false">IF(OR(T112="",N(Z112)=0),"",IF($B112="Short",-1,1)*(T112-H112)*G112/Z112)</f>
        <v/>
      </c>
      <c r="AG112" s="21" t="str">
        <f aca="false">IF(U112&lt;&gt;"Open","",Y112*MAX(0,IF($B112="Short",-1,1)*(H112-IF(K112="",I112,K112))))</f>
        <v/>
      </c>
      <c r="AH112" s="26" t="str">
        <f aca="false">IF(U112&lt;&gt;"Closed","",DATE(YEAR(P112),MONTH(P112),1))</f>
        <v/>
      </c>
      <c r="AI112" s="19" t="str">
        <f aca="false">IF(U112&lt;&gt;"Closed","",COUNTIFS($U$7:$U$506,"Closed",$P$7:$P$506,"&lt;"&amp;P112)+COUNTIFS($U$7:U112,"Closed",$P$7:P112,P112))</f>
        <v/>
      </c>
    </row>
    <row r="113" customFormat="false" ht="15" hidden="false" customHeight="false" outlineLevel="0" collapsed="false">
      <c r="A113" s="13"/>
      <c r="B113" s="14"/>
      <c r="C113" s="14"/>
      <c r="D113" s="14"/>
      <c r="E113" s="15"/>
      <c r="F113" s="15"/>
      <c r="G113" s="16"/>
      <c r="H113" s="17"/>
      <c r="I113" s="17"/>
      <c r="J113" s="17"/>
      <c r="K113" s="17"/>
      <c r="L113" s="16"/>
      <c r="M113" s="17"/>
      <c r="N113" s="16"/>
      <c r="O113" s="17"/>
      <c r="P113" s="15"/>
      <c r="Q113" s="17"/>
      <c r="R113" s="17"/>
      <c r="S113" s="17"/>
      <c r="T113" s="17"/>
      <c r="U113" s="18" t="str">
        <f aca="false">IF(A113="","",IF(N(G113)-N(L113)-N(N113)&lt;0,"Check shares",IF(AND(P113&lt;&gt;"",Q113&lt;&gt;""),"Closed","Open")))</f>
        <v/>
      </c>
      <c r="V113" s="19" t="str">
        <f aca="false">IF(OR(F113="",P113=""),"",NETWORKDAYS(F113,P113,Lists!$F$5:$F$40)-1)</f>
        <v/>
      </c>
      <c r="W113" s="18" t="str">
        <f aca="false">IF(V113="","",IF(V113=0,"Same day","Overnight"))</f>
        <v/>
      </c>
      <c r="X113" s="18" t="str">
        <f aca="false">IF(OR(E113="",F113=""),"",IF(AND(E113&gt;=F113,OR(P113="",E113&lt;=P113)),"Yes","No"))</f>
        <v/>
      </c>
      <c r="Y113" s="20" t="str">
        <f aca="false">IF(A113="","",N(G113)-N(L113)-N(N113))</f>
        <v/>
      </c>
      <c r="Z113" s="21" t="str">
        <f aca="false">IF(OR(G113="",H113="",I113=""),"",ABS(H113-I113)*G113)</f>
        <v/>
      </c>
      <c r="AA113" s="22" t="str">
        <f aca="false">IF(OR(J113="",N(Z113)=0),"",ABS(J113-H113)/ABS(H113-I113))</f>
        <v/>
      </c>
      <c r="AB113" s="23" t="str">
        <f aca="false">IF(U113&lt;&gt;"Closed","",(N(L113)*N(M113)+N(N113)*N(O113)+Y113*Q113)/G113)</f>
        <v/>
      </c>
      <c r="AC113" s="24" t="str">
        <f aca="false">IF(U113&lt;&gt;"Closed","",IF($B113="Short",-1,1)*((N(M113)-H113)*N(L113)+(N(O113)-H113)*N(N113)+(Q113-H113)*Y113)-N(R113))</f>
        <v/>
      </c>
      <c r="AD113" s="25" t="str">
        <f aca="false">IF(OR(AC113="",N(Z113)=0),"",AC113/Z113)</f>
        <v/>
      </c>
      <c r="AE113" s="25" t="str">
        <f aca="false">IF(OR(S113="",N(Z113)=0),"",IF($B113="Short",-1,1)*(S113-H113)*G113/Z113)</f>
        <v/>
      </c>
      <c r="AF113" s="25" t="str">
        <f aca="false">IF(OR(T113="",N(Z113)=0),"",IF($B113="Short",-1,1)*(T113-H113)*G113/Z113)</f>
        <v/>
      </c>
      <c r="AG113" s="21" t="str">
        <f aca="false">IF(U113&lt;&gt;"Open","",Y113*MAX(0,IF($B113="Short",-1,1)*(H113-IF(K113="",I113,K113))))</f>
        <v/>
      </c>
      <c r="AH113" s="26" t="str">
        <f aca="false">IF(U113&lt;&gt;"Closed","",DATE(YEAR(P113),MONTH(P113),1))</f>
        <v/>
      </c>
      <c r="AI113" s="19" t="str">
        <f aca="false">IF(U113&lt;&gt;"Closed","",COUNTIFS($U$7:$U$506,"Closed",$P$7:$P$506,"&lt;"&amp;P113)+COUNTIFS($U$7:U113,"Closed",$P$7:P113,P113))</f>
        <v/>
      </c>
    </row>
    <row r="114" customFormat="false" ht="15" hidden="false" customHeight="false" outlineLevel="0" collapsed="false">
      <c r="A114" s="13"/>
      <c r="B114" s="14"/>
      <c r="C114" s="14"/>
      <c r="D114" s="14"/>
      <c r="E114" s="15"/>
      <c r="F114" s="15"/>
      <c r="G114" s="16"/>
      <c r="H114" s="17"/>
      <c r="I114" s="17"/>
      <c r="J114" s="17"/>
      <c r="K114" s="17"/>
      <c r="L114" s="16"/>
      <c r="M114" s="17"/>
      <c r="N114" s="16"/>
      <c r="O114" s="17"/>
      <c r="P114" s="15"/>
      <c r="Q114" s="17"/>
      <c r="R114" s="17"/>
      <c r="S114" s="17"/>
      <c r="T114" s="17"/>
      <c r="U114" s="18" t="str">
        <f aca="false">IF(A114="","",IF(N(G114)-N(L114)-N(N114)&lt;0,"Check shares",IF(AND(P114&lt;&gt;"",Q114&lt;&gt;""),"Closed","Open")))</f>
        <v/>
      </c>
      <c r="V114" s="19" t="str">
        <f aca="false">IF(OR(F114="",P114=""),"",NETWORKDAYS(F114,P114,Lists!$F$5:$F$40)-1)</f>
        <v/>
      </c>
      <c r="W114" s="18" t="str">
        <f aca="false">IF(V114="","",IF(V114=0,"Same day","Overnight"))</f>
        <v/>
      </c>
      <c r="X114" s="18" t="str">
        <f aca="false">IF(OR(E114="",F114=""),"",IF(AND(E114&gt;=F114,OR(P114="",E114&lt;=P114)),"Yes","No"))</f>
        <v/>
      </c>
      <c r="Y114" s="20" t="str">
        <f aca="false">IF(A114="","",N(G114)-N(L114)-N(N114))</f>
        <v/>
      </c>
      <c r="Z114" s="21" t="str">
        <f aca="false">IF(OR(G114="",H114="",I114=""),"",ABS(H114-I114)*G114)</f>
        <v/>
      </c>
      <c r="AA114" s="22" t="str">
        <f aca="false">IF(OR(J114="",N(Z114)=0),"",ABS(J114-H114)/ABS(H114-I114))</f>
        <v/>
      </c>
      <c r="AB114" s="23" t="str">
        <f aca="false">IF(U114&lt;&gt;"Closed","",(N(L114)*N(M114)+N(N114)*N(O114)+Y114*Q114)/G114)</f>
        <v/>
      </c>
      <c r="AC114" s="24" t="str">
        <f aca="false">IF(U114&lt;&gt;"Closed","",IF($B114="Short",-1,1)*((N(M114)-H114)*N(L114)+(N(O114)-H114)*N(N114)+(Q114-H114)*Y114)-N(R114))</f>
        <v/>
      </c>
      <c r="AD114" s="25" t="str">
        <f aca="false">IF(OR(AC114="",N(Z114)=0),"",AC114/Z114)</f>
        <v/>
      </c>
      <c r="AE114" s="25" t="str">
        <f aca="false">IF(OR(S114="",N(Z114)=0),"",IF($B114="Short",-1,1)*(S114-H114)*G114/Z114)</f>
        <v/>
      </c>
      <c r="AF114" s="25" t="str">
        <f aca="false">IF(OR(T114="",N(Z114)=0),"",IF($B114="Short",-1,1)*(T114-H114)*G114/Z114)</f>
        <v/>
      </c>
      <c r="AG114" s="21" t="str">
        <f aca="false">IF(U114&lt;&gt;"Open","",Y114*MAX(0,IF($B114="Short",-1,1)*(H114-IF(K114="",I114,K114))))</f>
        <v/>
      </c>
      <c r="AH114" s="26" t="str">
        <f aca="false">IF(U114&lt;&gt;"Closed","",DATE(YEAR(P114),MONTH(P114),1))</f>
        <v/>
      </c>
      <c r="AI114" s="19" t="str">
        <f aca="false">IF(U114&lt;&gt;"Closed","",COUNTIFS($U$7:$U$506,"Closed",$P$7:$P$506,"&lt;"&amp;P114)+COUNTIFS($U$7:U114,"Closed",$P$7:P114,P114))</f>
        <v/>
      </c>
    </row>
    <row r="115" customFormat="false" ht="15" hidden="false" customHeight="false" outlineLevel="0" collapsed="false">
      <c r="A115" s="13"/>
      <c r="B115" s="14"/>
      <c r="C115" s="14"/>
      <c r="D115" s="14"/>
      <c r="E115" s="15"/>
      <c r="F115" s="15"/>
      <c r="G115" s="16"/>
      <c r="H115" s="17"/>
      <c r="I115" s="17"/>
      <c r="J115" s="17"/>
      <c r="K115" s="17"/>
      <c r="L115" s="16"/>
      <c r="M115" s="17"/>
      <c r="N115" s="16"/>
      <c r="O115" s="17"/>
      <c r="P115" s="15"/>
      <c r="Q115" s="17"/>
      <c r="R115" s="17"/>
      <c r="S115" s="17"/>
      <c r="T115" s="17"/>
      <c r="U115" s="18" t="str">
        <f aca="false">IF(A115="","",IF(N(G115)-N(L115)-N(N115)&lt;0,"Check shares",IF(AND(P115&lt;&gt;"",Q115&lt;&gt;""),"Closed","Open")))</f>
        <v/>
      </c>
      <c r="V115" s="19" t="str">
        <f aca="false">IF(OR(F115="",P115=""),"",NETWORKDAYS(F115,P115,Lists!$F$5:$F$40)-1)</f>
        <v/>
      </c>
      <c r="W115" s="18" t="str">
        <f aca="false">IF(V115="","",IF(V115=0,"Same day","Overnight"))</f>
        <v/>
      </c>
      <c r="X115" s="18" t="str">
        <f aca="false">IF(OR(E115="",F115=""),"",IF(AND(E115&gt;=F115,OR(P115="",E115&lt;=P115)),"Yes","No"))</f>
        <v/>
      </c>
      <c r="Y115" s="20" t="str">
        <f aca="false">IF(A115="","",N(G115)-N(L115)-N(N115))</f>
        <v/>
      </c>
      <c r="Z115" s="21" t="str">
        <f aca="false">IF(OR(G115="",H115="",I115=""),"",ABS(H115-I115)*G115)</f>
        <v/>
      </c>
      <c r="AA115" s="22" t="str">
        <f aca="false">IF(OR(J115="",N(Z115)=0),"",ABS(J115-H115)/ABS(H115-I115))</f>
        <v/>
      </c>
      <c r="AB115" s="23" t="str">
        <f aca="false">IF(U115&lt;&gt;"Closed","",(N(L115)*N(M115)+N(N115)*N(O115)+Y115*Q115)/G115)</f>
        <v/>
      </c>
      <c r="AC115" s="24" t="str">
        <f aca="false">IF(U115&lt;&gt;"Closed","",IF($B115="Short",-1,1)*((N(M115)-H115)*N(L115)+(N(O115)-H115)*N(N115)+(Q115-H115)*Y115)-N(R115))</f>
        <v/>
      </c>
      <c r="AD115" s="25" t="str">
        <f aca="false">IF(OR(AC115="",N(Z115)=0),"",AC115/Z115)</f>
        <v/>
      </c>
      <c r="AE115" s="25" t="str">
        <f aca="false">IF(OR(S115="",N(Z115)=0),"",IF($B115="Short",-1,1)*(S115-H115)*G115/Z115)</f>
        <v/>
      </c>
      <c r="AF115" s="25" t="str">
        <f aca="false">IF(OR(T115="",N(Z115)=0),"",IF($B115="Short",-1,1)*(T115-H115)*G115/Z115)</f>
        <v/>
      </c>
      <c r="AG115" s="21" t="str">
        <f aca="false">IF(U115&lt;&gt;"Open","",Y115*MAX(0,IF($B115="Short",-1,1)*(H115-IF(K115="",I115,K115))))</f>
        <v/>
      </c>
      <c r="AH115" s="26" t="str">
        <f aca="false">IF(U115&lt;&gt;"Closed","",DATE(YEAR(P115),MONTH(P115),1))</f>
        <v/>
      </c>
      <c r="AI115" s="19" t="str">
        <f aca="false">IF(U115&lt;&gt;"Closed","",COUNTIFS($U$7:$U$506,"Closed",$P$7:$P$506,"&lt;"&amp;P115)+COUNTIFS($U$7:U115,"Closed",$P$7:P115,P115))</f>
        <v/>
      </c>
    </row>
    <row r="116" customFormat="false" ht="15" hidden="false" customHeight="false" outlineLevel="0" collapsed="false">
      <c r="A116" s="13"/>
      <c r="B116" s="14"/>
      <c r="C116" s="14"/>
      <c r="D116" s="14"/>
      <c r="E116" s="15"/>
      <c r="F116" s="15"/>
      <c r="G116" s="16"/>
      <c r="H116" s="17"/>
      <c r="I116" s="17"/>
      <c r="J116" s="17"/>
      <c r="K116" s="17"/>
      <c r="L116" s="16"/>
      <c r="M116" s="17"/>
      <c r="N116" s="16"/>
      <c r="O116" s="17"/>
      <c r="P116" s="15"/>
      <c r="Q116" s="17"/>
      <c r="R116" s="17"/>
      <c r="S116" s="17"/>
      <c r="T116" s="17"/>
      <c r="U116" s="18" t="str">
        <f aca="false">IF(A116="","",IF(N(G116)-N(L116)-N(N116)&lt;0,"Check shares",IF(AND(P116&lt;&gt;"",Q116&lt;&gt;""),"Closed","Open")))</f>
        <v/>
      </c>
      <c r="V116" s="19" t="str">
        <f aca="false">IF(OR(F116="",P116=""),"",NETWORKDAYS(F116,P116,Lists!$F$5:$F$40)-1)</f>
        <v/>
      </c>
      <c r="W116" s="18" t="str">
        <f aca="false">IF(V116="","",IF(V116=0,"Same day","Overnight"))</f>
        <v/>
      </c>
      <c r="X116" s="18" t="str">
        <f aca="false">IF(OR(E116="",F116=""),"",IF(AND(E116&gt;=F116,OR(P116="",E116&lt;=P116)),"Yes","No"))</f>
        <v/>
      </c>
      <c r="Y116" s="20" t="str">
        <f aca="false">IF(A116="","",N(G116)-N(L116)-N(N116))</f>
        <v/>
      </c>
      <c r="Z116" s="21" t="str">
        <f aca="false">IF(OR(G116="",H116="",I116=""),"",ABS(H116-I116)*G116)</f>
        <v/>
      </c>
      <c r="AA116" s="22" t="str">
        <f aca="false">IF(OR(J116="",N(Z116)=0),"",ABS(J116-H116)/ABS(H116-I116))</f>
        <v/>
      </c>
      <c r="AB116" s="23" t="str">
        <f aca="false">IF(U116&lt;&gt;"Closed","",(N(L116)*N(M116)+N(N116)*N(O116)+Y116*Q116)/G116)</f>
        <v/>
      </c>
      <c r="AC116" s="24" t="str">
        <f aca="false">IF(U116&lt;&gt;"Closed","",IF($B116="Short",-1,1)*((N(M116)-H116)*N(L116)+(N(O116)-H116)*N(N116)+(Q116-H116)*Y116)-N(R116))</f>
        <v/>
      </c>
      <c r="AD116" s="25" t="str">
        <f aca="false">IF(OR(AC116="",N(Z116)=0),"",AC116/Z116)</f>
        <v/>
      </c>
      <c r="AE116" s="25" t="str">
        <f aca="false">IF(OR(S116="",N(Z116)=0),"",IF($B116="Short",-1,1)*(S116-H116)*G116/Z116)</f>
        <v/>
      </c>
      <c r="AF116" s="25" t="str">
        <f aca="false">IF(OR(T116="",N(Z116)=0),"",IF($B116="Short",-1,1)*(T116-H116)*G116/Z116)</f>
        <v/>
      </c>
      <c r="AG116" s="21" t="str">
        <f aca="false">IF(U116&lt;&gt;"Open","",Y116*MAX(0,IF($B116="Short",-1,1)*(H116-IF(K116="",I116,K116))))</f>
        <v/>
      </c>
      <c r="AH116" s="26" t="str">
        <f aca="false">IF(U116&lt;&gt;"Closed","",DATE(YEAR(P116),MONTH(P116),1))</f>
        <v/>
      </c>
      <c r="AI116" s="19" t="str">
        <f aca="false">IF(U116&lt;&gt;"Closed","",COUNTIFS($U$7:$U$506,"Closed",$P$7:$P$506,"&lt;"&amp;P116)+COUNTIFS($U$7:U116,"Closed",$P$7:P116,P116))</f>
        <v/>
      </c>
    </row>
    <row r="117" customFormat="false" ht="15" hidden="false" customHeight="false" outlineLevel="0" collapsed="false">
      <c r="A117" s="13"/>
      <c r="B117" s="14"/>
      <c r="C117" s="14"/>
      <c r="D117" s="14"/>
      <c r="E117" s="15"/>
      <c r="F117" s="15"/>
      <c r="G117" s="16"/>
      <c r="H117" s="17"/>
      <c r="I117" s="17"/>
      <c r="J117" s="17"/>
      <c r="K117" s="17"/>
      <c r="L117" s="16"/>
      <c r="M117" s="17"/>
      <c r="N117" s="16"/>
      <c r="O117" s="17"/>
      <c r="P117" s="15"/>
      <c r="Q117" s="17"/>
      <c r="R117" s="17"/>
      <c r="S117" s="17"/>
      <c r="T117" s="17"/>
      <c r="U117" s="18" t="str">
        <f aca="false">IF(A117="","",IF(N(G117)-N(L117)-N(N117)&lt;0,"Check shares",IF(AND(P117&lt;&gt;"",Q117&lt;&gt;""),"Closed","Open")))</f>
        <v/>
      </c>
      <c r="V117" s="19" t="str">
        <f aca="false">IF(OR(F117="",P117=""),"",NETWORKDAYS(F117,P117,Lists!$F$5:$F$40)-1)</f>
        <v/>
      </c>
      <c r="W117" s="18" t="str">
        <f aca="false">IF(V117="","",IF(V117=0,"Same day","Overnight"))</f>
        <v/>
      </c>
      <c r="X117" s="18" t="str">
        <f aca="false">IF(OR(E117="",F117=""),"",IF(AND(E117&gt;=F117,OR(P117="",E117&lt;=P117)),"Yes","No"))</f>
        <v/>
      </c>
      <c r="Y117" s="20" t="str">
        <f aca="false">IF(A117="","",N(G117)-N(L117)-N(N117))</f>
        <v/>
      </c>
      <c r="Z117" s="21" t="str">
        <f aca="false">IF(OR(G117="",H117="",I117=""),"",ABS(H117-I117)*G117)</f>
        <v/>
      </c>
      <c r="AA117" s="22" t="str">
        <f aca="false">IF(OR(J117="",N(Z117)=0),"",ABS(J117-H117)/ABS(H117-I117))</f>
        <v/>
      </c>
      <c r="AB117" s="23" t="str">
        <f aca="false">IF(U117&lt;&gt;"Closed","",(N(L117)*N(M117)+N(N117)*N(O117)+Y117*Q117)/G117)</f>
        <v/>
      </c>
      <c r="AC117" s="24" t="str">
        <f aca="false">IF(U117&lt;&gt;"Closed","",IF($B117="Short",-1,1)*((N(M117)-H117)*N(L117)+(N(O117)-H117)*N(N117)+(Q117-H117)*Y117)-N(R117))</f>
        <v/>
      </c>
      <c r="AD117" s="25" t="str">
        <f aca="false">IF(OR(AC117="",N(Z117)=0),"",AC117/Z117)</f>
        <v/>
      </c>
      <c r="AE117" s="25" t="str">
        <f aca="false">IF(OR(S117="",N(Z117)=0),"",IF($B117="Short",-1,1)*(S117-H117)*G117/Z117)</f>
        <v/>
      </c>
      <c r="AF117" s="25" t="str">
        <f aca="false">IF(OR(T117="",N(Z117)=0),"",IF($B117="Short",-1,1)*(T117-H117)*G117/Z117)</f>
        <v/>
      </c>
      <c r="AG117" s="21" t="str">
        <f aca="false">IF(U117&lt;&gt;"Open","",Y117*MAX(0,IF($B117="Short",-1,1)*(H117-IF(K117="",I117,K117))))</f>
        <v/>
      </c>
      <c r="AH117" s="26" t="str">
        <f aca="false">IF(U117&lt;&gt;"Closed","",DATE(YEAR(P117),MONTH(P117),1))</f>
        <v/>
      </c>
      <c r="AI117" s="19" t="str">
        <f aca="false">IF(U117&lt;&gt;"Closed","",COUNTIFS($U$7:$U$506,"Closed",$P$7:$P$506,"&lt;"&amp;P117)+COUNTIFS($U$7:U117,"Closed",$P$7:P117,P117))</f>
        <v/>
      </c>
    </row>
    <row r="118" customFormat="false" ht="15" hidden="false" customHeight="false" outlineLevel="0" collapsed="false">
      <c r="A118" s="13"/>
      <c r="B118" s="14"/>
      <c r="C118" s="14"/>
      <c r="D118" s="14"/>
      <c r="E118" s="15"/>
      <c r="F118" s="15"/>
      <c r="G118" s="16"/>
      <c r="H118" s="17"/>
      <c r="I118" s="17"/>
      <c r="J118" s="17"/>
      <c r="K118" s="17"/>
      <c r="L118" s="16"/>
      <c r="M118" s="17"/>
      <c r="N118" s="16"/>
      <c r="O118" s="17"/>
      <c r="P118" s="15"/>
      <c r="Q118" s="17"/>
      <c r="R118" s="17"/>
      <c r="S118" s="17"/>
      <c r="T118" s="17"/>
      <c r="U118" s="18" t="str">
        <f aca="false">IF(A118="","",IF(N(G118)-N(L118)-N(N118)&lt;0,"Check shares",IF(AND(P118&lt;&gt;"",Q118&lt;&gt;""),"Closed","Open")))</f>
        <v/>
      </c>
      <c r="V118" s="19" t="str">
        <f aca="false">IF(OR(F118="",P118=""),"",NETWORKDAYS(F118,P118,Lists!$F$5:$F$40)-1)</f>
        <v/>
      </c>
      <c r="W118" s="18" t="str">
        <f aca="false">IF(V118="","",IF(V118=0,"Same day","Overnight"))</f>
        <v/>
      </c>
      <c r="X118" s="18" t="str">
        <f aca="false">IF(OR(E118="",F118=""),"",IF(AND(E118&gt;=F118,OR(P118="",E118&lt;=P118)),"Yes","No"))</f>
        <v/>
      </c>
      <c r="Y118" s="20" t="str">
        <f aca="false">IF(A118="","",N(G118)-N(L118)-N(N118))</f>
        <v/>
      </c>
      <c r="Z118" s="21" t="str">
        <f aca="false">IF(OR(G118="",H118="",I118=""),"",ABS(H118-I118)*G118)</f>
        <v/>
      </c>
      <c r="AA118" s="22" t="str">
        <f aca="false">IF(OR(J118="",N(Z118)=0),"",ABS(J118-H118)/ABS(H118-I118))</f>
        <v/>
      </c>
      <c r="AB118" s="23" t="str">
        <f aca="false">IF(U118&lt;&gt;"Closed","",(N(L118)*N(M118)+N(N118)*N(O118)+Y118*Q118)/G118)</f>
        <v/>
      </c>
      <c r="AC118" s="24" t="str">
        <f aca="false">IF(U118&lt;&gt;"Closed","",IF($B118="Short",-1,1)*((N(M118)-H118)*N(L118)+(N(O118)-H118)*N(N118)+(Q118-H118)*Y118)-N(R118))</f>
        <v/>
      </c>
      <c r="AD118" s="25" t="str">
        <f aca="false">IF(OR(AC118="",N(Z118)=0),"",AC118/Z118)</f>
        <v/>
      </c>
      <c r="AE118" s="25" t="str">
        <f aca="false">IF(OR(S118="",N(Z118)=0),"",IF($B118="Short",-1,1)*(S118-H118)*G118/Z118)</f>
        <v/>
      </c>
      <c r="AF118" s="25" t="str">
        <f aca="false">IF(OR(T118="",N(Z118)=0),"",IF($B118="Short",-1,1)*(T118-H118)*G118/Z118)</f>
        <v/>
      </c>
      <c r="AG118" s="21" t="str">
        <f aca="false">IF(U118&lt;&gt;"Open","",Y118*MAX(0,IF($B118="Short",-1,1)*(H118-IF(K118="",I118,K118))))</f>
        <v/>
      </c>
      <c r="AH118" s="26" t="str">
        <f aca="false">IF(U118&lt;&gt;"Closed","",DATE(YEAR(P118),MONTH(P118),1))</f>
        <v/>
      </c>
      <c r="AI118" s="19" t="str">
        <f aca="false">IF(U118&lt;&gt;"Closed","",COUNTIFS($U$7:$U$506,"Closed",$P$7:$P$506,"&lt;"&amp;P118)+COUNTIFS($U$7:U118,"Closed",$P$7:P118,P118))</f>
        <v/>
      </c>
    </row>
    <row r="119" customFormat="false" ht="15" hidden="false" customHeight="false" outlineLevel="0" collapsed="false">
      <c r="A119" s="13"/>
      <c r="B119" s="14"/>
      <c r="C119" s="14"/>
      <c r="D119" s="14"/>
      <c r="E119" s="15"/>
      <c r="F119" s="15"/>
      <c r="G119" s="16"/>
      <c r="H119" s="17"/>
      <c r="I119" s="17"/>
      <c r="J119" s="17"/>
      <c r="K119" s="17"/>
      <c r="L119" s="16"/>
      <c r="M119" s="17"/>
      <c r="N119" s="16"/>
      <c r="O119" s="17"/>
      <c r="P119" s="15"/>
      <c r="Q119" s="17"/>
      <c r="R119" s="17"/>
      <c r="S119" s="17"/>
      <c r="T119" s="17"/>
      <c r="U119" s="18" t="str">
        <f aca="false">IF(A119="","",IF(N(G119)-N(L119)-N(N119)&lt;0,"Check shares",IF(AND(P119&lt;&gt;"",Q119&lt;&gt;""),"Closed","Open")))</f>
        <v/>
      </c>
      <c r="V119" s="19" t="str">
        <f aca="false">IF(OR(F119="",P119=""),"",NETWORKDAYS(F119,P119,Lists!$F$5:$F$40)-1)</f>
        <v/>
      </c>
      <c r="W119" s="18" t="str">
        <f aca="false">IF(V119="","",IF(V119=0,"Same day","Overnight"))</f>
        <v/>
      </c>
      <c r="X119" s="18" t="str">
        <f aca="false">IF(OR(E119="",F119=""),"",IF(AND(E119&gt;=F119,OR(P119="",E119&lt;=P119)),"Yes","No"))</f>
        <v/>
      </c>
      <c r="Y119" s="20" t="str">
        <f aca="false">IF(A119="","",N(G119)-N(L119)-N(N119))</f>
        <v/>
      </c>
      <c r="Z119" s="21" t="str">
        <f aca="false">IF(OR(G119="",H119="",I119=""),"",ABS(H119-I119)*G119)</f>
        <v/>
      </c>
      <c r="AA119" s="22" t="str">
        <f aca="false">IF(OR(J119="",N(Z119)=0),"",ABS(J119-H119)/ABS(H119-I119))</f>
        <v/>
      </c>
      <c r="AB119" s="23" t="str">
        <f aca="false">IF(U119&lt;&gt;"Closed","",(N(L119)*N(M119)+N(N119)*N(O119)+Y119*Q119)/G119)</f>
        <v/>
      </c>
      <c r="AC119" s="24" t="str">
        <f aca="false">IF(U119&lt;&gt;"Closed","",IF($B119="Short",-1,1)*((N(M119)-H119)*N(L119)+(N(O119)-H119)*N(N119)+(Q119-H119)*Y119)-N(R119))</f>
        <v/>
      </c>
      <c r="AD119" s="25" t="str">
        <f aca="false">IF(OR(AC119="",N(Z119)=0),"",AC119/Z119)</f>
        <v/>
      </c>
      <c r="AE119" s="25" t="str">
        <f aca="false">IF(OR(S119="",N(Z119)=0),"",IF($B119="Short",-1,1)*(S119-H119)*G119/Z119)</f>
        <v/>
      </c>
      <c r="AF119" s="25" t="str">
        <f aca="false">IF(OR(T119="",N(Z119)=0),"",IF($B119="Short",-1,1)*(T119-H119)*G119/Z119)</f>
        <v/>
      </c>
      <c r="AG119" s="21" t="str">
        <f aca="false">IF(U119&lt;&gt;"Open","",Y119*MAX(0,IF($B119="Short",-1,1)*(H119-IF(K119="",I119,K119))))</f>
        <v/>
      </c>
      <c r="AH119" s="26" t="str">
        <f aca="false">IF(U119&lt;&gt;"Closed","",DATE(YEAR(P119),MONTH(P119),1))</f>
        <v/>
      </c>
      <c r="AI119" s="19" t="str">
        <f aca="false">IF(U119&lt;&gt;"Closed","",COUNTIFS($U$7:$U$506,"Closed",$P$7:$P$506,"&lt;"&amp;P119)+COUNTIFS($U$7:U119,"Closed",$P$7:P119,P119))</f>
        <v/>
      </c>
    </row>
    <row r="120" customFormat="false" ht="15" hidden="false" customHeight="false" outlineLevel="0" collapsed="false">
      <c r="A120" s="13"/>
      <c r="B120" s="14"/>
      <c r="C120" s="14"/>
      <c r="D120" s="14"/>
      <c r="E120" s="15"/>
      <c r="F120" s="15"/>
      <c r="G120" s="16"/>
      <c r="H120" s="17"/>
      <c r="I120" s="17"/>
      <c r="J120" s="17"/>
      <c r="K120" s="17"/>
      <c r="L120" s="16"/>
      <c r="M120" s="17"/>
      <c r="N120" s="16"/>
      <c r="O120" s="17"/>
      <c r="P120" s="15"/>
      <c r="Q120" s="17"/>
      <c r="R120" s="17"/>
      <c r="S120" s="17"/>
      <c r="T120" s="17"/>
      <c r="U120" s="18" t="str">
        <f aca="false">IF(A120="","",IF(N(G120)-N(L120)-N(N120)&lt;0,"Check shares",IF(AND(P120&lt;&gt;"",Q120&lt;&gt;""),"Closed","Open")))</f>
        <v/>
      </c>
      <c r="V120" s="19" t="str">
        <f aca="false">IF(OR(F120="",P120=""),"",NETWORKDAYS(F120,P120,Lists!$F$5:$F$40)-1)</f>
        <v/>
      </c>
      <c r="W120" s="18" t="str">
        <f aca="false">IF(V120="","",IF(V120=0,"Same day","Overnight"))</f>
        <v/>
      </c>
      <c r="X120" s="18" t="str">
        <f aca="false">IF(OR(E120="",F120=""),"",IF(AND(E120&gt;=F120,OR(P120="",E120&lt;=P120)),"Yes","No"))</f>
        <v/>
      </c>
      <c r="Y120" s="20" t="str">
        <f aca="false">IF(A120="","",N(G120)-N(L120)-N(N120))</f>
        <v/>
      </c>
      <c r="Z120" s="21" t="str">
        <f aca="false">IF(OR(G120="",H120="",I120=""),"",ABS(H120-I120)*G120)</f>
        <v/>
      </c>
      <c r="AA120" s="22" t="str">
        <f aca="false">IF(OR(J120="",N(Z120)=0),"",ABS(J120-H120)/ABS(H120-I120))</f>
        <v/>
      </c>
      <c r="AB120" s="23" t="str">
        <f aca="false">IF(U120&lt;&gt;"Closed","",(N(L120)*N(M120)+N(N120)*N(O120)+Y120*Q120)/G120)</f>
        <v/>
      </c>
      <c r="AC120" s="24" t="str">
        <f aca="false">IF(U120&lt;&gt;"Closed","",IF($B120="Short",-1,1)*((N(M120)-H120)*N(L120)+(N(O120)-H120)*N(N120)+(Q120-H120)*Y120)-N(R120))</f>
        <v/>
      </c>
      <c r="AD120" s="25" t="str">
        <f aca="false">IF(OR(AC120="",N(Z120)=0),"",AC120/Z120)</f>
        <v/>
      </c>
      <c r="AE120" s="25" t="str">
        <f aca="false">IF(OR(S120="",N(Z120)=0),"",IF($B120="Short",-1,1)*(S120-H120)*G120/Z120)</f>
        <v/>
      </c>
      <c r="AF120" s="25" t="str">
        <f aca="false">IF(OR(T120="",N(Z120)=0),"",IF($B120="Short",-1,1)*(T120-H120)*G120/Z120)</f>
        <v/>
      </c>
      <c r="AG120" s="21" t="str">
        <f aca="false">IF(U120&lt;&gt;"Open","",Y120*MAX(0,IF($B120="Short",-1,1)*(H120-IF(K120="",I120,K120))))</f>
        <v/>
      </c>
      <c r="AH120" s="26" t="str">
        <f aca="false">IF(U120&lt;&gt;"Closed","",DATE(YEAR(P120),MONTH(P120),1))</f>
        <v/>
      </c>
      <c r="AI120" s="19" t="str">
        <f aca="false">IF(U120&lt;&gt;"Closed","",COUNTIFS($U$7:$U$506,"Closed",$P$7:$P$506,"&lt;"&amp;P120)+COUNTIFS($U$7:U120,"Closed",$P$7:P120,P120))</f>
        <v/>
      </c>
    </row>
    <row r="121" customFormat="false" ht="15" hidden="false" customHeight="false" outlineLevel="0" collapsed="false">
      <c r="A121" s="13"/>
      <c r="B121" s="14"/>
      <c r="C121" s="14"/>
      <c r="D121" s="14"/>
      <c r="E121" s="15"/>
      <c r="F121" s="15"/>
      <c r="G121" s="16"/>
      <c r="H121" s="17"/>
      <c r="I121" s="17"/>
      <c r="J121" s="17"/>
      <c r="K121" s="17"/>
      <c r="L121" s="16"/>
      <c r="M121" s="17"/>
      <c r="N121" s="16"/>
      <c r="O121" s="17"/>
      <c r="P121" s="15"/>
      <c r="Q121" s="17"/>
      <c r="R121" s="17"/>
      <c r="S121" s="17"/>
      <c r="T121" s="17"/>
      <c r="U121" s="18" t="str">
        <f aca="false">IF(A121="","",IF(N(G121)-N(L121)-N(N121)&lt;0,"Check shares",IF(AND(P121&lt;&gt;"",Q121&lt;&gt;""),"Closed","Open")))</f>
        <v/>
      </c>
      <c r="V121" s="19" t="str">
        <f aca="false">IF(OR(F121="",P121=""),"",NETWORKDAYS(F121,P121,Lists!$F$5:$F$40)-1)</f>
        <v/>
      </c>
      <c r="W121" s="18" t="str">
        <f aca="false">IF(V121="","",IF(V121=0,"Same day","Overnight"))</f>
        <v/>
      </c>
      <c r="X121" s="18" t="str">
        <f aca="false">IF(OR(E121="",F121=""),"",IF(AND(E121&gt;=F121,OR(P121="",E121&lt;=P121)),"Yes","No"))</f>
        <v/>
      </c>
      <c r="Y121" s="20" t="str">
        <f aca="false">IF(A121="","",N(G121)-N(L121)-N(N121))</f>
        <v/>
      </c>
      <c r="Z121" s="21" t="str">
        <f aca="false">IF(OR(G121="",H121="",I121=""),"",ABS(H121-I121)*G121)</f>
        <v/>
      </c>
      <c r="AA121" s="22" t="str">
        <f aca="false">IF(OR(J121="",N(Z121)=0),"",ABS(J121-H121)/ABS(H121-I121))</f>
        <v/>
      </c>
      <c r="AB121" s="23" t="str">
        <f aca="false">IF(U121&lt;&gt;"Closed","",(N(L121)*N(M121)+N(N121)*N(O121)+Y121*Q121)/G121)</f>
        <v/>
      </c>
      <c r="AC121" s="24" t="str">
        <f aca="false">IF(U121&lt;&gt;"Closed","",IF($B121="Short",-1,1)*((N(M121)-H121)*N(L121)+(N(O121)-H121)*N(N121)+(Q121-H121)*Y121)-N(R121))</f>
        <v/>
      </c>
      <c r="AD121" s="25" t="str">
        <f aca="false">IF(OR(AC121="",N(Z121)=0),"",AC121/Z121)</f>
        <v/>
      </c>
      <c r="AE121" s="25" t="str">
        <f aca="false">IF(OR(S121="",N(Z121)=0),"",IF($B121="Short",-1,1)*(S121-H121)*G121/Z121)</f>
        <v/>
      </c>
      <c r="AF121" s="25" t="str">
        <f aca="false">IF(OR(T121="",N(Z121)=0),"",IF($B121="Short",-1,1)*(T121-H121)*G121/Z121)</f>
        <v/>
      </c>
      <c r="AG121" s="21" t="str">
        <f aca="false">IF(U121&lt;&gt;"Open","",Y121*MAX(0,IF($B121="Short",-1,1)*(H121-IF(K121="",I121,K121))))</f>
        <v/>
      </c>
      <c r="AH121" s="26" t="str">
        <f aca="false">IF(U121&lt;&gt;"Closed","",DATE(YEAR(P121),MONTH(P121),1))</f>
        <v/>
      </c>
      <c r="AI121" s="19" t="str">
        <f aca="false">IF(U121&lt;&gt;"Closed","",COUNTIFS($U$7:$U$506,"Closed",$P$7:$P$506,"&lt;"&amp;P121)+COUNTIFS($U$7:U121,"Closed",$P$7:P121,P121))</f>
        <v/>
      </c>
    </row>
    <row r="122" customFormat="false" ht="15" hidden="false" customHeight="false" outlineLevel="0" collapsed="false">
      <c r="A122" s="13"/>
      <c r="B122" s="14"/>
      <c r="C122" s="14"/>
      <c r="D122" s="14"/>
      <c r="E122" s="15"/>
      <c r="F122" s="15"/>
      <c r="G122" s="16"/>
      <c r="H122" s="17"/>
      <c r="I122" s="17"/>
      <c r="J122" s="17"/>
      <c r="K122" s="17"/>
      <c r="L122" s="16"/>
      <c r="M122" s="17"/>
      <c r="N122" s="16"/>
      <c r="O122" s="17"/>
      <c r="P122" s="15"/>
      <c r="Q122" s="17"/>
      <c r="R122" s="17"/>
      <c r="S122" s="17"/>
      <c r="T122" s="17"/>
      <c r="U122" s="18" t="str">
        <f aca="false">IF(A122="","",IF(N(G122)-N(L122)-N(N122)&lt;0,"Check shares",IF(AND(P122&lt;&gt;"",Q122&lt;&gt;""),"Closed","Open")))</f>
        <v/>
      </c>
      <c r="V122" s="19" t="str">
        <f aca="false">IF(OR(F122="",P122=""),"",NETWORKDAYS(F122,P122,Lists!$F$5:$F$40)-1)</f>
        <v/>
      </c>
      <c r="W122" s="18" t="str">
        <f aca="false">IF(V122="","",IF(V122=0,"Same day","Overnight"))</f>
        <v/>
      </c>
      <c r="X122" s="18" t="str">
        <f aca="false">IF(OR(E122="",F122=""),"",IF(AND(E122&gt;=F122,OR(P122="",E122&lt;=P122)),"Yes","No"))</f>
        <v/>
      </c>
      <c r="Y122" s="20" t="str">
        <f aca="false">IF(A122="","",N(G122)-N(L122)-N(N122))</f>
        <v/>
      </c>
      <c r="Z122" s="21" t="str">
        <f aca="false">IF(OR(G122="",H122="",I122=""),"",ABS(H122-I122)*G122)</f>
        <v/>
      </c>
      <c r="AA122" s="22" t="str">
        <f aca="false">IF(OR(J122="",N(Z122)=0),"",ABS(J122-H122)/ABS(H122-I122))</f>
        <v/>
      </c>
      <c r="AB122" s="23" t="str">
        <f aca="false">IF(U122&lt;&gt;"Closed","",(N(L122)*N(M122)+N(N122)*N(O122)+Y122*Q122)/G122)</f>
        <v/>
      </c>
      <c r="AC122" s="24" t="str">
        <f aca="false">IF(U122&lt;&gt;"Closed","",IF($B122="Short",-1,1)*((N(M122)-H122)*N(L122)+(N(O122)-H122)*N(N122)+(Q122-H122)*Y122)-N(R122))</f>
        <v/>
      </c>
      <c r="AD122" s="25" t="str">
        <f aca="false">IF(OR(AC122="",N(Z122)=0),"",AC122/Z122)</f>
        <v/>
      </c>
      <c r="AE122" s="25" t="str">
        <f aca="false">IF(OR(S122="",N(Z122)=0),"",IF($B122="Short",-1,1)*(S122-H122)*G122/Z122)</f>
        <v/>
      </c>
      <c r="AF122" s="25" t="str">
        <f aca="false">IF(OR(T122="",N(Z122)=0),"",IF($B122="Short",-1,1)*(T122-H122)*G122/Z122)</f>
        <v/>
      </c>
      <c r="AG122" s="21" t="str">
        <f aca="false">IF(U122&lt;&gt;"Open","",Y122*MAX(0,IF($B122="Short",-1,1)*(H122-IF(K122="",I122,K122))))</f>
        <v/>
      </c>
      <c r="AH122" s="26" t="str">
        <f aca="false">IF(U122&lt;&gt;"Closed","",DATE(YEAR(P122),MONTH(P122),1))</f>
        <v/>
      </c>
      <c r="AI122" s="19" t="str">
        <f aca="false">IF(U122&lt;&gt;"Closed","",COUNTIFS($U$7:$U$506,"Closed",$P$7:$P$506,"&lt;"&amp;P122)+COUNTIFS($U$7:U122,"Closed",$P$7:P122,P122))</f>
        <v/>
      </c>
    </row>
    <row r="123" customFormat="false" ht="15" hidden="false" customHeight="false" outlineLevel="0" collapsed="false">
      <c r="A123" s="13"/>
      <c r="B123" s="14"/>
      <c r="C123" s="14"/>
      <c r="D123" s="14"/>
      <c r="E123" s="15"/>
      <c r="F123" s="15"/>
      <c r="G123" s="16"/>
      <c r="H123" s="17"/>
      <c r="I123" s="17"/>
      <c r="J123" s="17"/>
      <c r="K123" s="17"/>
      <c r="L123" s="16"/>
      <c r="M123" s="17"/>
      <c r="N123" s="16"/>
      <c r="O123" s="17"/>
      <c r="P123" s="15"/>
      <c r="Q123" s="17"/>
      <c r="R123" s="17"/>
      <c r="S123" s="17"/>
      <c r="T123" s="17"/>
      <c r="U123" s="18" t="str">
        <f aca="false">IF(A123="","",IF(N(G123)-N(L123)-N(N123)&lt;0,"Check shares",IF(AND(P123&lt;&gt;"",Q123&lt;&gt;""),"Closed","Open")))</f>
        <v/>
      </c>
      <c r="V123" s="19" t="str">
        <f aca="false">IF(OR(F123="",P123=""),"",NETWORKDAYS(F123,P123,Lists!$F$5:$F$40)-1)</f>
        <v/>
      </c>
      <c r="W123" s="18" t="str">
        <f aca="false">IF(V123="","",IF(V123=0,"Same day","Overnight"))</f>
        <v/>
      </c>
      <c r="X123" s="18" t="str">
        <f aca="false">IF(OR(E123="",F123=""),"",IF(AND(E123&gt;=F123,OR(P123="",E123&lt;=P123)),"Yes","No"))</f>
        <v/>
      </c>
      <c r="Y123" s="20" t="str">
        <f aca="false">IF(A123="","",N(G123)-N(L123)-N(N123))</f>
        <v/>
      </c>
      <c r="Z123" s="21" t="str">
        <f aca="false">IF(OR(G123="",H123="",I123=""),"",ABS(H123-I123)*G123)</f>
        <v/>
      </c>
      <c r="AA123" s="22" t="str">
        <f aca="false">IF(OR(J123="",N(Z123)=0),"",ABS(J123-H123)/ABS(H123-I123))</f>
        <v/>
      </c>
      <c r="AB123" s="23" t="str">
        <f aca="false">IF(U123&lt;&gt;"Closed","",(N(L123)*N(M123)+N(N123)*N(O123)+Y123*Q123)/G123)</f>
        <v/>
      </c>
      <c r="AC123" s="24" t="str">
        <f aca="false">IF(U123&lt;&gt;"Closed","",IF($B123="Short",-1,1)*((N(M123)-H123)*N(L123)+(N(O123)-H123)*N(N123)+(Q123-H123)*Y123)-N(R123))</f>
        <v/>
      </c>
      <c r="AD123" s="25" t="str">
        <f aca="false">IF(OR(AC123="",N(Z123)=0),"",AC123/Z123)</f>
        <v/>
      </c>
      <c r="AE123" s="25" t="str">
        <f aca="false">IF(OR(S123="",N(Z123)=0),"",IF($B123="Short",-1,1)*(S123-H123)*G123/Z123)</f>
        <v/>
      </c>
      <c r="AF123" s="25" t="str">
        <f aca="false">IF(OR(T123="",N(Z123)=0),"",IF($B123="Short",-1,1)*(T123-H123)*G123/Z123)</f>
        <v/>
      </c>
      <c r="AG123" s="21" t="str">
        <f aca="false">IF(U123&lt;&gt;"Open","",Y123*MAX(0,IF($B123="Short",-1,1)*(H123-IF(K123="",I123,K123))))</f>
        <v/>
      </c>
      <c r="AH123" s="26" t="str">
        <f aca="false">IF(U123&lt;&gt;"Closed","",DATE(YEAR(P123),MONTH(P123),1))</f>
        <v/>
      </c>
      <c r="AI123" s="19" t="str">
        <f aca="false">IF(U123&lt;&gt;"Closed","",COUNTIFS($U$7:$U$506,"Closed",$P$7:$P$506,"&lt;"&amp;P123)+COUNTIFS($U$7:U123,"Closed",$P$7:P123,P123))</f>
        <v/>
      </c>
    </row>
    <row r="124" customFormat="false" ht="15" hidden="false" customHeight="false" outlineLevel="0" collapsed="false">
      <c r="A124" s="13"/>
      <c r="B124" s="14"/>
      <c r="C124" s="14"/>
      <c r="D124" s="14"/>
      <c r="E124" s="15"/>
      <c r="F124" s="15"/>
      <c r="G124" s="16"/>
      <c r="H124" s="17"/>
      <c r="I124" s="17"/>
      <c r="J124" s="17"/>
      <c r="K124" s="17"/>
      <c r="L124" s="16"/>
      <c r="M124" s="17"/>
      <c r="N124" s="16"/>
      <c r="O124" s="17"/>
      <c r="P124" s="15"/>
      <c r="Q124" s="17"/>
      <c r="R124" s="17"/>
      <c r="S124" s="17"/>
      <c r="T124" s="17"/>
      <c r="U124" s="18" t="str">
        <f aca="false">IF(A124="","",IF(N(G124)-N(L124)-N(N124)&lt;0,"Check shares",IF(AND(P124&lt;&gt;"",Q124&lt;&gt;""),"Closed","Open")))</f>
        <v/>
      </c>
      <c r="V124" s="19" t="str">
        <f aca="false">IF(OR(F124="",P124=""),"",NETWORKDAYS(F124,P124,Lists!$F$5:$F$40)-1)</f>
        <v/>
      </c>
      <c r="W124" s="18" t="str">
        <f aca="false">IF(V124="","",IF(V124=0,"Same day","Overnight"))</f>
        <v/>
      </c>
      <c r="X124" s="18" t="str">
        <f aca="false">IF(OR(E124="",F124=""),"",IF(AND(E124&gt;=F124,OR(P124="",E124&lt;=P124)),"Yes","No"))</f>
        <v/>
      </c>
      <c r="Y124" s="20" t="str">
        <f aca="false">IF(A124="","",N(G124)-N(L124)-N(N124))</f>
        <v/>
      </c>
      <c r="Z124" s="21" t="str">
        <f aca="false">IF(OR(G124="",H124="",I124=""),"",ABS(H124-I124)*G124)</f>
        <v/>
      </c>
      <c r="AA124" s="22" t="str">
        <f aca="false">IF(OR(J124="",N(Z124)=0),"",ABS(J124-H124)/ABS(H124-I124))</f>
        <v/>
      </c>
      <c r="AB124" s="23" t="str">
        <f aca="false">IF(U124&lt;&gt;"Closed","",(N(L124)*N(M124)+N(N124)*N(O124)+Y124*Q124)/G124)</f>
        <v/>
      </c>
      <c r="AC124" s="24" t="str">
        <f aca="false">IF(U124&lt;&gt;"Closed","",IF($B124="Short",-1,1)*((N(M124)-H124)*N(L124)+(N(O124)-H124)*N(N124)+(Q124-H124)*Y124)-N(R124))</f>
        <v/>
      </c>
      <c r="AD124" s="25" t="str">
        <f aca="false">IF(OR(AC124="",N(Z124)=0),"",AC124/Z124)</f>
        <v/>
      </c>
      <c r="AE124" s="25" t="str">
        <f aca="false">IF(OR(S124="",N(Z124)=0),"",IF($B124="Short",-1,1)*(S124-H124)*G124/Z124)</f>
        <v/>
      </c>
      <c r="AF124" s="25" t="str">
        <f aca="false">IF(OR(T124="",N(Z124)=0),"",IF($B124="Short",-1,1)*(T124-H124)*G124/Z124)</f>
        <v/>
      </c>
      <c r="AG124" s="21" t="str">
        <f aca="false">IF(U124&lt;&gt;"Open","",Y124*MAX(0,IF($B124="Short",-1,1)*(H124-IF(K124="",I124,K124))))</f>
        <v/>
      </c>
      <c r="AH124" s="26" t="str">
        <f aca="false">IF(U124&lt;&gt;"Closed","",DATE(YEAR(P124),MONTH(P124),1))</f>
        <v/>
      </c>
      <c r="AI124" s="19" t="str">
        <f aca="false">IF(U124&lt;&gt;"Closed","",COUNTIFS($U$7:$U$506,"Closed",$P$7:$P$506,"&lt;"&amp;P124)+COUNTIFS($U$7:U124,"Closed",$P$7:P124,P124))</f>
        <v/>
      </c>
    </row>
    <row r="125" customFormat="false" ht="15" hidden="false" customHeight="false" outlineLevel="0" collapsed="false">
      <c r="A125" s="13"/>
      <c r="B125" s="14"/>
      <c r="C125" s="14"/>
      <c r="D125" s="14"/>
      <c r="E125" s="15"/>
      <c r="F125" s="15"/>
      <c r="G125" s="16"/>
      <c r="H125" s="17"/>
      <c r="I125" s="17"/>
      <c r="J125" s="17"/>
      <c r="K125" s="17"/>
      <c r="L125" s="16"/>
      <c r="M125" s="17"/>
      <c r="N125" s="16"/>
      <c r="O125" s="17"/>
      <c r="P125" s="15"/>
      <c r="Q125" s="17"/>
      <c r="R125" s="17"/>
      <c r="S125" s="17"/>
      <c r="T125" s="17"/>
      <c r="U125" s="18" t="str">
        <f aca="false">IF(A125="","",IF(N(G125)-N(L125)-N(N125)&lt;0,"Check shares",IF(AND(P125&lt;&gt;"",Q125&lt;&gt;""),"Closed","Open")))</f>
        <v/>
      </c>
      <c r="V125" s="19" t="str">
        <f aca="false">IF(OR(F125="",P125=""),"",NETWORKDAYS(F125,P125,Lists!$F$5:$F$40)-1)</f>
        <v/>
      </c>
      <c r="W125" s="18" t="str">
        <f aca="false">IF(V125="","",IF(V125=0,"Same day","Overnight"))</f>
        <v/>
      </c>
      <c r="X125" s="18" t="str">
        <f aca="false">IF(OR(E125="",F125=""),"",IF(AND(E125&gt;=F125,OR(P125="",E125&lt;=P125)),"Yes","No"))</f>
        <v/>
      </c>
      <c r="Y125" s="20" t="str">
        <f aca="false">IF(A125="","",N(G125)-N(L125)-N(N125))</f>
        <v/>
      </c>
      <c r="Z125" s="21" t="str">
        <f aca="false">IF(OR(G125="",H125="",I125=""),"",ABS(H125-I125)*G125)</f>
        <v/>
      </c>
      <c r="AA125" s="22" t="str">
        <f aca="false">IF(OR(J125="",N(Z125)=0),"",ABS(J125-H125)/ABS(H125-I125))</f>
        <v/>
      </c>
      <c r="AB125" s="23" t="str">
        <f aca="false">IF(U125&lt;&gt;"Closed","",(N(L125)*N(M125)+N(N125)*N(O125)+Y125*Q125)/G125)</f>
        <v/>
      </c>
      <c r="AC125" s="24" t="str">
        <f aca="false">IF(U125&lt;&gt;"Closed","",IF($B125="Short",-1,1)*((N(M125)-H125)*N(L125)+(N(O125)-H125)*N(N125)+(Q125-H125)*Y125)-N(R125))</f>
        <v/>
      </c>
      <c r="AD125" s="25" t="str">
        <f aca="false">IF(OR(AC125="",N(Z125)=0),"",AC125/Z125)</f>
        <v/>
      </c>
      <c r="AE125" s="25" t="str">
        <f aca="false">IF(OR(S125="",N(Z125)=0),"",IF($B125="Short",-1,1)*(S125-H125)*G125/Z125)</f>
        <v/>
      </c>
      <c r="AF125" s="25" t="str">
        <f aca="false">IF(OR(T125="",N(Z125)=0),"",IF($B125="Short",-1,1)*(T125-H125)*G125/Z125)</f>
        <v/>
      </c>
      <c r="AG125" s="21" t="str">
        <f aca="false">IF(U125&lt;&gt;"Open","",Y125*MAX(0,IF($B125="Short",-1,1)*(H125-IF(K125="",I125,K125))))</f>
        <v/>
      </c>
      <c r="AH125" s="26" t="str">
        <f aca="false">IF(U125&lt;&gt;"Closed","",DATE(YEAR(P125),MONTH(P125),1))</f>
        <v/>
      </c>
      <c r="AI125" s="19" t="str">
        <f aca="false">IF(U125&lt;&gt;"Closed","",COUNTIFS($U$7:$U$506,"Closed",$P$7:$P$506,"&lt;"&amp;P125)+COUNTIFS($U$7:U125,"Closed",$P$7:P125,P125))</f>
        <v/>
      </c>
    </row>
    <row r="126" customFormat="false" ht="15" hidden="false" customHeight="false" outlineLevel="0" collapsed="false">
      <c r="A126" s="13"/>
      <c r="B126" s="14"/>
      <c r="C126" s="14"/>
      <c r="D126" s="14"/>
      <c r="E126" s="15"/>
      <c r="F126" s="15"/>
      <c r="G126" s="16"/>
      <c r="H126" s="17"/>
      <c r="I126" s="17"/>
      <c r="J126" s="17"/>
      <c r="K126" s="17"/>
      <c r="L126" s="16"/>
      <c r="M126" s="17"/>
      <c r="N126" s="16"/>
      <c r="O126" s="17"/>
      <c r="P126" s="15"/>
      <c r="Q126" s="17"/>
      <c r="R126" s="17"/>
      <c r="S126" s="17"/>
      <c r="T126" s="17"/>
      <c r="U126" s="18" t="str">
        <f aca="false">IF(A126="","",IF(N(G126)-N(L126)-N(N126)&lt;0,"Check shares",IF(AND(P126&lt;&gt;"",Q126&lt;&gt;""),"Closed","Open")))</f>
        <v/>
      </c>
      <c r="V126" s="19" t="str">
        <f aca="false">IF(OR(F126="",P126=""),"",NETWORKDAYS(F126,P126,Lists!$F$5:$F$40)-1)</f>
        <v/>
      </c>
      <c r="W126" s="18" t="str">
        <f aca="false">IF(V126="","",IF(V126=0,"Same day","Overnight"))</f>
        <v/>
      </c>
      <c r="X126" s="18" t="str">
        <f aca="false">IF(OR(E126="",F126=""),"",IF(AND(E126&gt;=F126,OR(P126="",E126&lt;=P126)),"Yes","No"))</f>
        <v/>
      </c>
      <c r="Y126" s="20" t="str">
        <f aca="false">IF(A126="","",N(G126)-N(L126)-N(N126))</f>
        <v/>
      </c>
      <c r="Z126" s="21" t="str">
        <f aca="false">IF(OR(G126="",H126="",I126=""),"",ABS(H126-I126)*G126)</f>
        <v/>
      </c>
      <c r="AA126" s="22" t="str">
        <f aca="false">IF(OR(J126="",N(Z126)=0),"",ABS(J126-H126)/ABS(H126-I126))</f>
        <v/>
      </c>
      <c r="AB126" s="23" t="str">
        <f aca="false">IF(U126&lt;&gt;"Closed","",(N(L126)*N(M126)+N(N126)*N(O126)+Y126*Q126)/G126)</f>
        <v/>
      </c>
      <c r="AC126" s="24" t="str">
        <f aca="false">IF(U126&lt;&gt;"Closed","",IF($B126="Short",-1,1)*((N(M126)-H126)*N(L126)+(N(O126)-H126)*N(N126)+(Q126-H126)*Y126)-N(R126))</f>
        <v/>
      </c>
      <c r="AD126" s="25" t="str">
        <f aca="false">IF(OR(AC126="",N(Z126)=0),"",AC126/Z126)</f>
        <v/>
      </c>
      <c r="AE126" s="25" t="str">
        <f aca="false">IF(OR(S126="",N(Z126)=0),"",IF($B126="Short",-1,1)*(S126-H126)*G126/Z126)</f>
        <v/>
      </c>
      <c r="AF126" s="25" t="str">
        <f aca="false">IF(OR(T126="",N(Z126)=0),"",IF($B126="Short",-1,1)*(T126-H126)*G126/Z126)</f>
        <v/>
      </c>
      <c r="AG126" s="21" t="str">
        <f aca="false">IF(U126&lt;&gt;"Open","",Y126*MAX(0,IF($B126="Short",-1,1)*(H126-IF(K126="",I126,K126))))</f>
        <v/>
      </c>
      <c r="AH126" s="26" t="str">
        <f aca="false">IF(U126&lt;&gt;"Closed","",DATE(YEAR(P126),MONTH(P126),1))</f>
        <v/>
      </c>
      <c r="AI126" s="19" t="str">
        <f aca="false">IF(U126&lt;&gt;"Closed","",COUNTIFS($U$7:$U$506,"Closed",$P$7:$P$506,"&lt;"&amp;P126)+COUNTIFS($U$7:U126,"Closed",$P$7:P126,P126))</f>
        <v/>
      </c>
    </row>
    <row r="127" customFormat="false" ht="15" hidden="false" customHeight="false" outlineLevel="0" collapsed="false">
      <c r="A127" s="13"/>
      <c r="B127" s="14"/>
      <c r="C127" s="14"/>
      <c r="D127" s="14"/>
      <c r="E127" s="15"/>
      <c r="F127" s="15"/>
      <c r="G127" s="16"/>
      <c r="H127" s="17"/>
      <c r="I127" s="17"/>
      <c r="J127" s="17"/>
      <c r="K127" s="17"/>
      <c r="L127" s="16"/>
      <c r="M127" s="17"/>
      <c r="N127" s="16"/>
      <c r="O127" s="17"/>
      <c r="P127" s="15"/>
      <c r="Q127" s="17"/>
      <c r="R127" s="17"/>
      <c r="S127" s="17"/>
      <c r="T127" s="17"/>
      <c r="U127" s="18" t="str">
        <f aca="false">IF(A127="","",IF(N(G127)-N(L127)-N(N127)&lt;0,"Check shares",IF(AND(P127&lt;&gt;"",Q127&lt;&gt;""),"Closed","Open")))</f>
        <v/>
      </c>
      <c r="V127" s="19" t="str">
        <f aca="false">IF(OR(F127="",P127=""),"",NETWORKDAYS(F127,P127,Lists!$F$5:$F$40)-1)</f>
        <v/>
      </c>
      <c r="W127" s="18" t="str">
        <f aca="false">IF(V127="","",IF(V127=0,"Same day","Overnight"))</f>
        <v/>
      </c>
      <c r="X127" s="18" t="str">
        <f aca="false">IF(OR(E127="",F127=""),"",IF(AND(E127&gt;=F127,OR(P127="",E127&lt;=P127)),"Yes","No"))</f>
        <v/>
      </c>
      <c r="Y127" s="20" t="str">
        <f aca="false">IF(A127="","",N(G127)-N(L127)-N(N127))</f>
        <v/>
      </c>
      <c r="Z127" s="21" t="str">
        <f aca="false">IF(OR(G127="",H127="",I127=""),"",ABS(H127-I127)*G127)</f>
        <v/>
      </c>
      <c r="AA127" s="22" t="str">
        <f aca="false">IF(OR(J127="",N(Z127)=0),"",ABS(J127-H127)/ABS(H127-I127))</f>
        <v/>
      </c>
      <c r="AB127" s="23" t="str">
        <f aca="false">IF(U127&lt;&gt;"Closed","",(N(L127)*N(M127)+N(N127)*N(O127)+Y127*Q127)/G127)</f>
        <v/>
      </c>
      <c r="AC127" s="24" t="str">
        <f aca="false">IF(U127&lt;&gt;"Closed","",IF($B127="Short",-1,1)*((N(M127)-H127)*N(L127)+(N(O127)-H127)*N(N127)+(Q127-H127)*Y127)-N(R127))</f>
        <v/>
      </c>
      <c r="AD127" s="25" t="str">
        <f aca="false">IF(OR(AC127="",N(Z127)=0),"",AC127/Z127)</f>
        <v/>
      </c>
      <c r="AE127" s="25" t="str">
        <f aca="false">IF(OR(S127="",N(Z127)=0),"",IF($B127="Short",-1,1)*(S127-H127)*G127/Z127)</f>
        <v/>
      </c>
      <c r="AF127" s="25" t="str">
        <f aca="false">IF(OR(T127="",N(Z127)=0),"",IF($B127="Short",-1,1)*(T127-H127)*G127/Z127)</f>
        <v/>
      </c>
      <c r="AG127" s="21" t="str">
        <f aca="false">IF(U127&lt;&gt;"Open","",Y127*MAX(0,IF($B127="Short",-1,1)*(H127-IF(K127="",I127,K127))))</f>
        <v/>
      </c>
      <c r="AH127" s="26" t="str">
        <f aca="false">IF(U127&lt;&gt;"Closed","",DATE(YEAR(P127),MONTH(P127),1))</f>
        <v/>
      </c>
      <c r="AI127" s="19" t="str">
        <f aca="false">IF(U127&lt;&gt;"Closed","",COUNTIFS($U$7:$U$506,"Closed",$P$7:$P$506,"&lt;"&amp;P127)+COUNTIFS($U$7:U127,"Closed",$P$7:P127,P127))</f>
        <v/>
      </c>
    </row>
    <row r="128" customFormat="false" ht="15" hidden="false" customHeight="false" outlineLevel="0" collapsed="false">
      <c r="A128" s="13"/>
      <c r="B128" s="14"/>
      <c r="C128" s="14"/>
      <c r="D128" s="14"/>
      <c r="E128" s="15"/>
      <c r="F128" s="15"/>
      <c r="G128" s="16"/>
      <c r="H128" s="17"/>
      <c r="I128" s="17"/>
      <c r="J128" s="17"/>
      <c r="K128" s="17"/>
      <c r="L128" s="16"/>
      <c r="M128" s="17"/>
      <c r="N128" s="16"/>
      <c r="O128" s="17"/>
      <c r="P128" s="15"/>
      <c r="Q128" s="17"/>
      <c r="R128" s="17"/>
      <c r="S128" s="17"/>
      <c r="T128" s="17"/>
      <c r="U128" s="18" t="str">
        <f aca="false">IF(A128="","",IF(N(G128)-N(L128)-N(N128)&lt;0,"Check shares",IF(AND(P128&lt;&gt;"",Q128&lt;&gt;""),"Closed","Open")))</f>
        <v/>
      </c>
      <c r="V128" s="19" t="str">
        <f aca="false">IF(OR(F128="",P128=""),"",NETWORKDAYS(F128,P128,Lists!$F$5:$F$40)-1)</f>
        <v/>
      </c>
      <c r="W128" s="18" t="str">
        <f aca="false">IF(V128="","",IF(V128=0,"Same day","Overnight"))</f>
        <v/>
      </c>
      <c r="X128" s="18" t="str">
        <f aca="false">IF(OR(E128="",F128=""),"",IF(AND(E128&gt;=F128,OR(P128="",E128&lt;=P128)),"Yes","No"))</f>
        <v/>
      </c>
      <c r="Y128" s="20" t="str">
        <f aca="false">IF(A128="","",N(G128)-N(L128)-N(N128))</f>
        <v/>
      </c>
      <c r="Z128" s="21" t="str">
        <f aca="false">IF(OR(G128="",H128="",I128=""),"",ABS(H128-I128)*G128)</f>
        <v/>
      </c>
      <c r="AA128" s="22" t="str">
        <f aca="false">IF(OR(J128="",N(Z128)=0),"",ABS(J128-H128)/ABS(H128-I128))</f>
        <v/>
      </c>
      <c r="AB128" s="23" t="str">
        <f aca="false">IF(U128&lt;&gt;"Closed","",(N(L128)*N(M128)+N(N128)*N(O128)+Y128*Q128)/G128)</f>
        <v/>
      </c>
      <c r="AC128" s="24" t="str">
        <f aca="false">IF(U128&lt;&gt;"Closed","",IF($B128="Short",-1,1)*((N(M128)-H128)*N(L128)+(N(O128)-H128)*N(N128)+(Q128-H128)*Y128)-N(R128))</f>
        <v/>
      </c>
      <c r="AD128" s="25" t="str">
        <f aca="false">IF(OR(AC128="",N(Z128)=0),"",AC128/Z128)</f>
        <v/>
      </c>
      <c r="AE128" s="25" t="str">
        <f aca="false">IF(OR(S128="",N(Z128)=0),"",IF($B128="Short",-1,1)*(S128-H128)*G128/Z128)</f>
        <v/>
      </c>
      <c r="AF128" s="25" t="str">
        <f aca="false">IF(OR(T128="",N(Z128)=0),"",IF($B128="Short",-1,1)*(T128-H128)*G128/Z128)</f>
        <v/>
      </c>
      <c r="AG128" s="21" t="str">
        <f aca="false">IF(U128&lt;&gt;"Open","",Y128*MAX(0,IF($B128="Short",-1,1)*(H128-IF(K128="",I128,K128))))</f>
        <v/>
      </c>
      <c r="AH128" s="26" t="str">
        <f aca="false">IF(U128&lt;&gt;"Closed","",DATE(YEAR(P128),MONTH(P128),1))</f>
        <v/>
      </c>
      <c r="AI128" s="19" t="str">
        <f aca="false">IF(U128&lt;&gt;"Closed","",COUNTIFS($U$7:$U$506,"Closed",$P$7:$P$506,"&lt;"&amp;P128)+COUNTIFS($U$7:U128,"Closed",$P$7:P128,P128))</f>
        <v/>
      </c>
    </row>
    <row r="129" customFormat="false" ht="15" hidden="false" customHeight="false" outlineLevel="0" collapsed="false">
      <c r="A129" s="13"/>
      <c r="B129" s="14"/>
      <c r="C129" s="14"/>
      <c r="D129" s="14"/>
      <c r="E129" s="15"/>
      <c r="F129" s="15"/>
      <c r="G129" s="16"/>
      <c r="H129" s="17"/>
      <c r="I129" s="17"/>
      <c r="J129" s="17"/>
      <c r="K129" s="17"/>
      <c r="L129" s="16"/>
      <c r="M129" s="17"/>
      <c r="N129" s="16"/>
      <c r="O129" s="17"/>
      <c r="P129" s="15"/>
      <c r="Q129" s="17"/>
      <c r="R129" s="17"/>
      <c r="S129" s="17"/>
      <c r="T129" s="17"/>
      <c r="U129" s="18" t="str">
        <f aca="false">IF(A129="","",IF(N(G129)-N(L129)-N(N129)&lt;0,"Check shares",IF(AND(P129&lt;&gt;"",Q129&lt;&gt;""),"Closed","Open")))</f>
        <v/>
      </c>
      <c r="V129" s="19" t="str">
        <f aca="false">IF(OR(F129="",P129=""),"",NETWORKDAYS(F129,P129,Lists!$F$5:$F$40)-1)</f>
        <v/>
      </c>
      <c r="W129" s="18" t="str">
        <f aca="false">IF(V129="","",IF(V129=0,"Same day","Overnight"))</f>
        <v/>
      </c>
      <c r="X129" s="18" t="str">
        <f aca="false">IF(OR(E129="",F129=""),"",IF(AND(E129&gt;=F129,OR(P129="",E129&lt;=P129)),"Yes","No"))</f>
        <v/>
      </c>
      <c r="Y129" s="20" t="str">
        <f aca="false">IF(A129="","",N(G129)-N(L129)-N(N129))</f>
        <v/>
      </c>
      <c r="Z129" s="21" t="str">
        <f aca="false">IF(OR(G129="",H129="",I129=""),"",ABS(H129-I129)*G129)</f>
        <v/>
      </c>
      <c r="AA129" s="22" t="str">
        <f aca="false">IF(OR(J129="",N(Z129)=0),"",ABS(J129-H129)/ABS(H129-I129))</f>
        <v/>
      </c>
      <c r="AB129" s="23" t="str">
        <f aca="false">IF(U129&lt;&gt;"Closed","",(N(L129)*N(M129)+N(N129)*N(O129)+Y129*Q129)/G129)</f>
        <v/>
      </c>
      <c r="AC129" s="24" t="str">
        <f aca="false">IF(U129&lt;&gt;"Closed","",IF($B129="Short",-1,1)*((N(M129)-H129)*N(L129)+(N(O129)-H129)*N(N129)+(Q129-H129)*Y129)-N(R129))</f>
        <v/>
      </c>
      <c r="AD129" s="25" t="str">
        <f aca="false">IF(OR(AC129="",N(Z129)=0),"",AC129/Z129)</f>
        <v/>
      </c>
      <c r="AE129" s="25" t="str">
        <f aca="false">IF(OR(S129="",N(Z129)=0),"",IF($B129="Short",-1,1)*(S129-H129)*G129/Z129)</f>
        <v/>
      </c>
      <c r="AF129" s="25" t="str">
        <f aca="false">IF(OR(T129="",N(Z129)=0),"",IF($B129="Short",-1,1)*(T129-H129)*G129/Z129)</f>
        <v/>
      </c>
      <c r="AG129" s="21" t="str">
        <f aca="false">IF(U129&lt;&gt;"Open","",Y129*MAX(0,IF($B129="Short",-1,1)*(H129-IF(K129="",I129,K129))))</f>
        <v/>
      </c>
      <c r="AH129" s="26" t="str">
        <f aca="false">IF(U129&lt;&gt;"Closed","",DATE(YEAR(P129),MONTH(P129),1))</f>
        <v/>
      </c>
      <c r="AI129" s="19" t="str">
        <f aca="false">IF(U129&lt;&gt;"Closed","",COUNTIFS($U$7:$U$506,"Closed",$P$7:$P$506,"&lt;"&amp;P129)+COUNTIFS($U$7:U129,"Closed",$P$7:P129,P129))</f>
        <v/>
      </c>
    </row>
    <row r="130" customFormat="false" ht="15" hidden="false" customHeight="false" outlineLevel="0" collapsed="false">
      <c r="A130" s="13"/>
      <c r="B130" s="14"/>
      <c r="C130" s="14"/>
      <c r="D130" s="14"/>
      <c r="E130" s="15"/>
      <c r="F130" s="15"/>
      <c r="G130" s="16"/>
      <c r="H130" s="17"/>
      <c r="I130" s="17"/>
      <c r="J130" s="17"/>
      <c r="K130" s="17"/>
      <c r="L130" s="16"/>
      <c r="M130" s="17"/>
      <c r="N130" s="16"/>
      <c r="O130" s="17"/>
      <c r="P130" s="15"/>
      <c r="Q130" s="17"/>
      <c r="R130" s="17"/>
      <c r="S130" s="17"/>
      <c r="T130" s="17"/>
      <c r="U130" s="18" t="str">
        <f aca="false">IF(A130="","",IF(N(G130)-N(L130)-N(N130)&lt;0,"Check shares",IF(AND(P130&lt;&gt;"",Q130&lt;&gt;""),"Closed","Open")))</f>
        <v/>
      </c>
      <c r="V130" s="19" t="str">
        <f aca="false">IF(OR(F130="",P130=""),"",NETWORKDAYS(F130,P130,Lists!$F$5:$F$40)-1)</f>
        <v/>
      </c>
      <c r="W130" s="18" t="str">
        <f aca="false">IF(V130="","",IF(V130=0,"Same day","Overnight"))</f>
        <v/>
      </c>
      <c r="X130" s="18" t="str">
        <f aca="false">IF(OR(E130="",F130=""),"",IF(AND(E130&gt;=F130,OR(P130="",E130&lt;=P130)),"Yes","No"))</f>
        <v/>
      </c>
      <c r="Y130" s="20" t="str">
        <f aca="false">IF(A130="","",N(G130)-N(L130)-N(N130))</f>
        <v/>
      </c>
      <c r="Z130" s="21" t="str">
        <f aca="false">IF(OR(G130="",H130="",I130=""),"",ABS(H130-I130)*G130)</f>
        <v/>
      </c>
      <c r="AA130" s="22" t="str">
        <f aca="false">IF(OR(J130="",N(Z130)=0),"",ABS(J130-H130)/ABS(H130-I130))</f>
        <v/>
      </c>
      <c r="AB130" s="23" t="str">
        <f aca="false">IF(U130&lt;&gt;"Closed","",(N(L130)*N(M130)+N(N130)*N(O130)+Y130*Q130)/G130)</f>
        <v/>
      </c>
      <c r="AC130" s="24" t="str">
        <f aca="false">IF(U130&lt;&gt;"Closed","",IF($B130="Short",-1,1)*((N(M130)-H130)*N(L130)+(N(O130)-H130)*N(N130)+(Q130-H130)*Y130)-N(R130))</f>
        <v/>
      </c>
      <c r="AD130" s="25" t="str">
        <f aca="false">IF(OR(AC130="",N(Z130)=0),"",AC130/Z130)</f>
        <v/>
      </c>
      <c r="AE130" s="25" t="str">
        <f aca="false">IF(OR(S130="",N(Z130)=0),"",IF($B130="Short",-1,1)*(S130-H130)*G130/Z130)</f>
        <v/>
      </c>
      <c r="AF130" s="25" t="str">
        <f aca="false">IF(OR(T130="",N(Z130)=0),"",IF($B130="Short",-1,1)*(T130-H130)*G130/Z130)</f>
        <v/>
      </c>
      <c r="AG130" s="21" t="str">
        <f aca="false">IF(U130&lt;&gt;"Open","",Y130*MAX(0,IF($B130="Short",-1,1)*(H130-IF(K130="",I130,K130))))</f>
        <v/>
      </c>
      <c r="AH130" s="26" t="str">
        <f aca="false">IF(U130&lt;&gt;"Closed","",DATE(YEAR(P130),MONTH(P130),1))</f>
        <v/>
      </c>
      <c r="AI130" s="19" t="str">
        <f aca="false">IF(U130&lt;&gt;"Closed","",COUNTIFS($U$7:$U$506,"Closed",$P$7:$P$506,"&lt;"&amp;P130)+COUNTIFS($U$7:U130,"Closed",$P$7:P130,P130))</f>
        <v/>
      </c>
    </row>
    <row r="131" customFormat="false" ht="15" hidden="false" customHeight="false" outlineLevel="0" collapsed="false">
      <c r="A131" s="13"/>
      <c r="B131" s="14"/>
      <c r="C131" s="14"/>
      <c r="D131" s="14"/>
      <c r="E131" s="15"/>
      <c r="F131" s="15"/>
      <c r="G131" s="16"/>
      <c r="H131" s="17"/>
      <c r="I131" s="17"/>
      <c r="J131" s="17"/>
      <c r="K131" s="17"/>
      <c r="L131" s="16"/>
      <c r="M131" s="17"/>
      <c r="N131" s="16"/>
      <c r="O131" s="17"/>
      <c r="P131" s="15"/>
      <c r="Q131" s="17"/>
      <c r="R131" s="17"/>
      <c r="S131" s="17"/>
      <c r="T131" s="17"/>
      <c r="U131" s="18" t="str">
        <f aca="false">IF(A131="","",IF(N(G131)-N(L131)-N(N131)&lt;0,"Check shares",IF(AND(P131&lt;&gt;"",Q131&lt;&gt;""),"Closed","Open")))</f>
        <v/>
      </c>
      <c r="V131" s="19" t="str">
        <f aca="false">IF(OR(F131="",P131=""),"",NETWORKDAYS(F131,P131,Lists!$F$5:$F$40)-1)</f>
        <v/>
      </c>
      <c r="W131" s="18" t="str">
        <f aca="false">IF(V131="","",IF(V131=0,"Same day","Overnight"))</f>
        <v/>
      </c>
      <c r="X131" s="18" t="str">
        <f aca="false">IF(OR(E131="",F131=""),"",IF(AND(E131&gt;=F131,OR(P131="",E131&lt;=P131)),"Yes","No"))</f>
        <v/>
      </c>
      <c r="Y131" s="20" t="str">
        <f aca="false">IF(A131="","",N(G131)-N(L131)-N(N131))</f>
        <v/>
      </c>
      <c r="Z131" s="21" t="str">
        <f aca="false">IF(OR(G131="",H131="",I131=""),"",ABS(H131-I131)*G131)</f>
        <v/>
      </c>
      <c r="AA131" s="22" t="str">
        <f aca="false">IF(OR(J131="",N(Z131)=0),"",ABS(J131-H131)/ABS(H131-I131))</f>
        <v/>
      </c>
      <c r="AB131" s="23" t="str">
        <f aca="false">IF(U131&lt;&gt;"Closed","",(N(L131)*N(M131)+N(N131)*N(O131)+Y131*Q131)/G131)</f>
        <v/>
      </c>
      <c r="AC131" s="24" t="str">
        <f aca="false">IF(U131&lt;&gt;"Closed","",IF($B131="Short",-1,1)*((N(M131)-H131)*N(L131)+(N(O131)-H131)*N(N131)+(Q131-H131)*Y131)-N(R131))</f>
        <v/>
      </c>
      <c r="AD131" s="25" t="str">
        <f aca="false">IF(OR(AC131="",N(Z131)=0),"",AC131/Z131)</f>
        <v/>
      </c>
      <c r="AE131" s="25" t="str">
        <f aca="false">IF(OR(S131="",N(Z131)=0),"",IF($B131="Short",-1,1)*(S131-H131)*G131/Z131)</f>
        <v/>
      </c>
      <c r="AF131" s="25" t="str">
        <f aca="false">IF(OR(T131="",N(Z131)=0),"",IF($B131="Short",-1,1)*(T131-H131)*G131/Z131)</f>
        <v/>
      </c>
      <c r="AG131" s="21" t="str">
        <f aca="false">IF(U131&lt;&gt;"Open","",Y131*MAX(0,IF($B131="Short",-1,1)*(H131-IF(K131="",I131,K131))))</f>
        <v/>
      </c>
      <c r="AH131" s="26" t="str">
        <f aca="false">IF(U131&lt;&gt;"Closed","",DATE(YEAR(P131),MONTH(P131),1))</f>
        <v/>
      </c>
      <c r="AI131" s="19" t="str">
        <f aca="false">IF(U131&lt;&gt;"Closed","",COUNTIFS($U$7:$U$506,"Closed",$P$7:$P$506,"&lt;"&amp;P131)+COUNTIFS($U$7:U131,"Closed",$P$7:P131,P131))</f>
        <v/>
      </c>
    </row>
    <row r="132" customFormat="false" ht="15" hidden="false" customHeight="false" outlineLevel="0" collapsed="false">
      <c r="A132" s="13"/>
      <c r="B132" s="14"/>
      <c r="C132" s="14"/>
      <c r="D132" s="14"/>
      <c r="E132" s="15"/>
      <c r="F132" s="15"/>
      <c r="G132" s="16"/>
      <c r="H132" s="17"/>
      <c r="I132" s="17"/>
      <c r="J132" s="17"/>
      <c r="K132" s="17"/>
      <c r="L132" s="16"/>
      <c r="M132" s="17"/>
      <c r="N132" s="16"/>
      <c r="O132" s="17"/>
      <c r="P132" s="15"/>
      <c r="Q132" s="17"/>
      <c r="R132" s="17"/>
      <c r="S132" s="17"/>
      <c r="T132" s="17"/>
      <c r="U132" s="18" t="str">
        <f aca="false">IF(A132="","",IF(N(G132)-N(L132)-N(N132)&lt;0,"Check shares",IF(AND(P132&lt;&gt;"",Q132&lt;&gt;""),"Closed","Open")))</f>
        <v/>
      </c>
      <c r="V132" s="19" t="str">
        <f aca="false">IF(OR(F132="",P132=""),"",NETWORKDAYS(F132,P132,Lists!$F$5:$F$40)-1)</f>
        <v/>
      </c>
      <c r="W132" s="18" t="str">
        <f aca="false">IF(V132="","",IF(V132=0,"Same day","Overnight"))</f>
        <v/>
      </c>
      <c r="X132" s="18" t="str">
        <f aca="false">IF(OR(E132="",F132=""),"",IF(AND(E132&gt;=F132,OR(P132="",E132&lt;=P132)),"Yes","No"))</f>
        <v/>
      </c>
      <c r="Y132" s="20" t="str">
        <f aca="false">IF(A132="","",N(G132)-N(L132)-N(N132))</f>
        <v/>
      </c>
      <c r="Z132" s="21" t="str">
        <f aca="false">IF(OR(G132="",H132="",I132=""),"",ABS(H132-I132)*G132)</f>
        <v/>
      </c>
      <c r="AA132" s="22" t="str">
        <f aca="false">IF(OR(J132="",N(Z132)=0),"",ABS(J132-H132)/ABS(H132-I132))</f>
        <v/>
      </c>
      <c r="AB132" s="23" t="str">
        <f aca="false">IF(U132&lt;&gt;"Closed","",(N(L132)*N(M132)+N(N132)*N(O132)+Y132*Q132)/G132)</f>
        <v/>
      </c>
      <c r="AC132" s="24" t="str">
        <f aca="false">IF(U132&lt;&gt;"Closed","",IF($B132="Short",-1,1)*((N(M132)-H132)*N(L132)+(N(O132)-H132)*N(N132)+(Q132-H132)*Y132)-N(R132))</f>
        <v/>
      </c>
      <c r="AD132" s="25" t="str">
        <f aca="false">IF(OR(AC132="",N(Z132)=0),"",AC132/Z132)</f>
        <v/>
      </c>
      <c r="AE132" s="25" t="str">
        <f aca="false">IF(OR(S132="",N(Z132)=0),"",IF($B132="Short",-1,1)*(S132-H132)*G132/Z132)</f>
        <v/>
      </c>
      <c r="AF132" s="25" t="str">
        <f aca="false">IF(OR(T132="",N(Z132)=0),"",IF($B132="Short",-1,1)*(T132-H132)*G132/Z132)</f>
        <v/>
      </c>
      <c r="AG132" s="21" t="str">
        <f aca="false">IF(U132&lt;&gt;"Open","",Y132*MAX(0,IF($B132="Short",-1,1)*(H132-IF(K132="",I132,K132))))</f>
        <v/>
      </c>
      <c r="AH132" s="26" t="str">
        <f aca="false">IF(U132&lt;&gt;"Closed","",DATE(YEAR(P132),MONTH(P132),1))</f>
        <v/>
      </c>
      <c r="AI132" s="19" t="str">
        <f aca="false">IF(U132&lt;&gt;"Closed","",COUNTIFS($U$7:$U$506,"Closed",$P$7:$P$506,"&lt;"&amp;P132)+COUNTIFS($U$7:U132,"Closed",$P$7:P132,P132))</f>
        <v/>
      </c>
    </row>
    <row r="133" customFormat="false" ht="15" hidden="false" customHeight="false" outlineLevel="0" collapsed="false">
      <c r="A133" s="13"/>
      <c r="B133" s="14"/>
      <c r="C133" s="14"/>
      <c r="D133" s="14"/>
      <c r="E133" s="15"/>
      <c r="F133" s="15"/>
      <c r="G133" s="16"/>
      <c r="H133" s="17"/>
      <c r="I133" s="17"/>
      <c r="J133" s="17"/>
      <c r="K133" s="17"/>
      <c r="L133" s="16"/>
      <c r="M133" s="17"/>
      <c r="N133" s="16"/>
      <c r="O133" s="17"/>
      <c r="P133" s="15"/>
      <c r="Q133" s="17"/>
      <c r="R133" s="17"/>
      <c r="S133" s="17"/>
      <c r="T133" s="17"/>
      <c r="U133" s="18" t="str">
        <f aca="false">IF(A133="","",IF(N(G133)-N(L133)-N(N133)&lt;0,"Check shares",IF(AND(P133&lt;&gt;"",Q133&lt;&gt;""),"Closed","Open")))</f>
        <v/>
      </c>
      <c r="V133" s="19" t="str">
        <f aca="false">IF(OR(F133="",P133=""),"",NETWORKDAYS(F133,P133,Lists!$F$5:$F$40)-1)</f>
        <v/>
      </c>
      <c r="W133" s="18" t="str">
        <f aca="false">IF(V133="","",IF(V133=0,"Same day","Overnight"))</f>
        <v/>
      </c>
      <c r="X133" s="18" t="str">
        <f aca="false">IF(OR(E133="",F133=""),"",IF(AND(E133&gt;=F133,OR(P133="",E133&lt;=P133)),"Yes","No"))</f>
        <v/>
      </c>
      <c r="Y133" s="20" t="str">
        <f aca="false">IF(A133="","",N(G133)-N(L133)-N(N133))</f>
        <v/>
      </c>
      <c r="Z133" s="21" t="str">
        <f aca="false">IF(OR(G133="",H133="",I133=""),"",ABS(H133-I133)*G133)</f>
        <v/>
      </c>
      <c r="AA133" s="22" t="str">
        <f aca="false">IF(OR(J133="",N(Z133)=0),"",ABS(J133-H133)/ABS(H133-I133))</f>
        <v/>
      </c>
      <c r="AB133" s="23" t="str">
        <f aca="false">IF(U133&lt;&gt;"Closed","",(N(L133)*N(M133)+N(N133)*N(O133)+Y133*Q133)/G133)</f>
        <v/>
      </c>
      <c r="AC133" s="24" t="str">
        <f aca="false">IF(U133&lt;&gt;"Closed","",IF($B133="Short",-1,1)*((N(M133)-H133)*N(L133)+(N(O133)-H133)*N(N133)+(Q133-H133)*Y133)-N(R133))</f>
        <v/>
      </c>
      <c r="AD133" s="25" t="str">
        <f aca="false">IF(OR(AC133="",N(Z133)=0),"",AC133/Z133)</f>
        <v/>
      </c>
      <c r="AE133" s="25" t="str">
        <f aca="false">IF(OR(S133="",N(Z133)=0),"",IF($B133="Short",-1,1)*(S133-H133)*G133/Z133)</f>
        <v/>
      </c>
      <c r="AF133" s="25" t="str">
        <f aca="false">IF(OR(T133="",N(Z133)=0),"",IF($B133="Short",-1,1)*(T133-H133)*G133/Z133)</f>
        <v/>
      </c>
      <c r="AG133" s="21" t="str">
        <f aca="false">IF(U133&lt;&gt;"Open","",Y133*MAX(0,IF($B133="Short",-1,1)*(H133-IF(K133="",I133,K133))))</f>
        <v/>
      </c>
      <c r="AH133" s="26" t="str">
        <f aca="false">IF(U133&lt;&gt;"Closed","",DATE(YEAR(P133),MONTH(P133),1))</f>
        <v/>
      </c>
      <c r="AI133" s="19" t="str">
        <f aca="false">IF(U133&lt;&gt;"Closed","",COUNTIFS($U$7:$U$506,"Closed",$P$7:$P$506,"&lt;"&amp;P133)+COUNTIFS($U$7:U133,"Closed",$P$7:P133,P133))</f>
        <v/>
      </c>
    </row>
    <row r="134" customFormat="false" ht="15" hidden="false" customHeight="false" outlineLevel="0" collapsed="false">
      <c r="A134" s="13"/>
      <c r="B134" s="14"/>
      <c r="C134" s="14"/>
      <c r="D134" s="14"/>
      <c r="E134" s="15"/>
      <c r="F134" s="15"/>
      <c r="G134" s="16"/>
      <c r="H134" s="17"/>
      <c r="I134" s="17"/>
      <c r="J134" s="17"/>
      <c r="K134" s="17"/>
      <c r="L134" s="16"/>
      <c r="M134" s="17"/>
      <c r="N134" s="16"/>
      <c r="O134" s="17"/>
      <c r="P134" s="15"/>
      <c r="Q134" s="17"/>
      <c r="R134" s="17"/>
      <c r="S134" s="17"/>
      <c r="T134" s="17"/>
      <c r="U134" s="18" t="str">
        <f aca="false">IF(A134="","",IF(N(G134)-N(L134)-N(N134)&lt;0,"Check shares",IF(AND(P134&lt;&gt;"",Q134&lt;&gt;""),"Closed","Open")))</f>
        <v/>
      </c>
      <c r="V134" s="19" t="str">
        <f aca="false">IF(OR(F134="",P134=""),"",NETWORKDAYS(F134,P134,Lists!$F$5:$F$40)-1)</f>
        <v/>
      </c>
      <c r="W134" s="18" t="str">
        <f aca="false">IF(V134="","",IF(V134=0,"Same day","Overnight"))</f>
        <v/>
      </c>
      <c r="X134" s="18" t="str">
        <f aca="false">IF(OR(E134="",F134=""),"",IF(AND(E134&gt;=F134,OR(P134="",E134&lt;=P134)),"Yes","No"))</f>
        <v/>
      </c>
      <c r="Y134" s="20" t="str">
        <f aca="false">IF(A134="","",N(G134)-N(L134)-N(N134))</f>
        <v/>
      </c>
      <c r="Z134" s="21" t="str">
        <f aca="false">IF(OR(G134="",H134="",I134=""),"",ABS(H134-I134)*G134)</f>
        <v/>
      </c>
      <c r="AA134" s="22" t="str">
        <f aca="false">IF(OR(J134="",N(Z134)=0),"",ABS(J134-H134)/ABS(H134-I134))</f>
        <v/>
      </c>
      <c r="AB134" s="23" t="str">
        <f aca="false">IF(U134&lt;&gt;"Closed","",(N(L134)*N(M134)+N(N134)*N(O134)+Y134*Q134)/G134)</f>
        <v/>
      </c>
      <c r="AC134" s="24" t="str">
        <f aca="false">IF(U134&lt;&gt;"Closed","",IF($B134="Short",-1,1)*((N(M134)-H134)*N(L134)+(N(O134)-H134)*N(N134)+(Q134-H134)*Y134)-N(R134))</f>
        <v/>
      </c>
      <c r="AD134" s="25" t="str">
        <f aca="false">IF(OR(AC134="",N(Z134)=0),"",AC134/Z134)</f>
        <v/>
      </c>
      <c r="AE134" s="25" t="str">
        <f aca="false">IF(OR(S134="",N(Z134)=0),"",IF($B134="Short",-1,1)*(S134-H134)*G134/Z134)</f>
        <v/>
      </c>
      <c r="AF134" s="25" t="str">
        <f aca="false">IF(OR(T134="",N(Z134)=0),"",IF($B134="Short",-1,1)*(T134-H134)*G134/Z134)</f>
        <v/>
      </c>
      <c r="AG134" s="21" t="str">
        <f aca="false">IF(U134&lt;&gt;"Open","",Y134*MAX(0,IF($B134="Short",-1,1)*(H134-IF(K134="",I134,K134))))</f>
        <v/>
      </c>
      <c r="AH134" s="26" t="str">
        <f aca="false">IF(U134&lt;&gt;"Closed","",DATE(YEAR(P134),MONTH(P134),1))</f>
        <v/>
      </c>
      <c r="AI134" s="19" t="str">
        <f aca="false">IF(U134&lt;&gt;"Closed","",COUNTIFS($U$7:$U$506,"Closed",$P$7:$P$506,"&lt;"&amp;P134)+COUNTIFS($U$7:U134,"Closed",$P$7:P134,P134))</f>
        <v/>
      </c>
    </row>
    <row r="135" customFormat="false" ht="15" hidden="false" customHeight="false" outlineLevel="0" collapsed="false">
      <c r="A135" s="13"/>
      <c r="B135" s="14"/>
      <c r="C135" s="14"/>
      <c r="D135" s="14"/>
      <c r="E135" s="15"/>
      <c r="F135" s="15"/>
      <c r="G135" s="16"/>
      <c r="H135" s="17"/>
      <c r="I135" s="17"/>
      <c r="J135" s="17"/>
      <c r="K135" s="17"/>
      <c r="L135" s="16"/>
      <c r="M135" s="17"/>
      <c r="N135" s="16"/>
      <c r="O135" s="17"/>
      <c r="P135" s="15"/>
      <c r="Q135" s="17"/>
      <c r="R135" s="17"/>
      <c r="S135" s="17"/>
      <c r="T135" s="17"/>
      <c r="U135" s="18" t="str">
        <f aca="false">IF(A135="","",IF(N(G135)-N(L135)-N(N135)&lt;0,"Check shares",IF(AND(P135&lt;&gt;"",Q135&lt;&gt;""),"Closed","Open")))</f>
        <v/>
      </c>
      <c r="V135" s="19" t="str">
        <f aca="false">IF(OR(F135="",P135=""),"",NETWORKDAYS(F135,P135,Lists!$F$5:$F$40)-1)</f>
        <v/>
      </c>
      <c r="W135" s="18" t="str">
        <f aca="false">IF(V135="","",IF(V135=0,"Same day","Overnight"))</f>
        <v/>
      </c>
      <c r="X135" s="18" t="str">
        <f aca="false">IF(OR(E135="",F135=""),"",IF(AND(E135&gt;=F135,OR(P135="",E135&lt;=P135)),"Yes","No"))</f>
        <v/>
      </c>
      <c r="Y135" s="20" t="str">
        <f aca="false">IF(A135="","",N(G135)-N(L135)-N(N135))</f>
        <v/>
      </c>
      <c r="Z135" s="21" t="str">
        <f aca="false">IF(OR(G135="",H135="",I135=""),"",ABS(H135-I135)*G135)</f>
        <v/>
      </c>
      <c r="AA135" s="22" t="str">
        <f aca="false">IF(OR(J135="",N(Z135)=0),"",ABS(J135-H135)/ABS(H135-I135))</f>
        <v/>
      </c>
      <c r="AB135" s="23" t="str">
        <f aca="false">IF(U135&lt;&gt;"Closed","",(N(L135)*N(M135)+N(N135)*N(O135)+Y135*Q135)/G135)</f>
        <v/>
      </c>
      <c r="AC135" s="24" t="str">
        <f aca="false">IF(U135&lt;&gt;"Closed","",IF($B135="Short",-1,1)*((N(M135)-H135)*N(L135)+(N(O135)-H135)*N(N135)+(Q135-H135)*Y135)-N(R135))</f>
        <v/>
      </c>
      <c r="AD135" s="25" t="str">
        <f aca="false">IF(OR(AC135="",N(Z135)=0),"",AC135/Z135)</f>
        <v/>
      </c>
      <c r="AE135" s="25" t="str">
        <f aca="false">IF(OR(S135="",N(Z135)=0),"",IF($B135="Short",-1,1)*(S135-H135)*G135/Z135)</f>
        <v/>
      </c>
      <c r="AF135" s="25" t="str">
        <f aca="false">IF(OR(T135="",N(Z135)=0),"",IF($B135="Short",-1,1)*(T135-H135)*G135/Z135)</f>
        <v/>
      </c>
      <c r="AG135" s="21" t="str">
        <f aca="false">IF(U135&lt;&gt;"Open","",Y135*MAX(0,IF($B135="Short",-1,1)*(H135-IF(K135="",I135,K135))))</f>
        <v/>
      </c>
      <c r="AH135" s="26" t="str">
        <f aca="false">IF(U135&lt;&gt;"Closed","",DATE(YEAR(P135),MONTH(P135),1))</f>
        <v/>
      </c>
      <c r="AI135" s="19" t="str">
        <f aca="false">IF(U135&lt;&gt;"Closed","",COUNTIFS($U$7:$U$506,"Closed",$P$7:$P$506,"&lt;"&amp;P135)+COUNTIFS($U$7:U135,"Closed",$P$7:P135,P135))</f>
        <v/>
      </c>
    </row>
    <row r="136" customFormat="false" ht="15" hidden="false" customHeight="false" outlineLevel="0" collapsed="false">
      <c r="A136" s="13"/>
      <c r="B136" s="14"/>
      <c r="C136" s="14"/>
      <c r="D136" s="14"/>
      <c r="E136" s="15"/>
      <c r="F136" s="15"/>
      <c r="G136" s="16"/>
      <c r="H136" s="17"/>
      <c r="I136" s="17"/>
      <c r="J136" s="17"/>
      <c r="K136" s="17"/>
      <c r="L136" s="16"/>
      <c r="M136" s="17"/>
      <c r="N136" s="16"/>
      <c r="O136" s="17"/>
      <c r="P136" s="15"/>
      <c r="Q136" s="17"/>
      <c r="R136" s="17"/>
      <c r="S136" s="17"/>
      <c r="T136" s="17"/>
      <c r="U136" s="18" t="str">
        <f aca="false">IF(A136="","",IF(N(G136)-N(L136)-N(N136)&lt;0,"Check shares",IF(AND(P136&lt;&gt;"",Q136&lt;&gt;""),"Closed","Open")))</f>
        <v/>
      </c>
      <c r="V136" s="19" t="str">
        <f aca="false">IF(OR(F136="",P136=""),"",NETWORKDAYS(F136,P136,Lists!$F$5:$F$40)-1)</f>
        <v/>
      </c>
      <c r="W136" s="18" t="str">
        <f aca="false">IF(V136="","",IF(V136=0,"Same day","Overnight"))</f>
        <v/>
      </c>
      <c r="X136" s="18" t="str">
        <f aca="false">IF(OR(E136="",F136=""),"",IF(AND(E136&gt;=F136,OR(P136="",E136&lt;=P136)),"Yes","No"))</f>
        <v/>
      </c>
      <c r="Y136" s="20" t="str">
        <f aca="false">IF(A136="","",N(G136)-N(L136)-N(N136))</f>
        <v/>
      </c>
      <c r="Z136" s="21" t="str">
        <f aca="false">IF(OR(G136="",H136="",I136=""),"",ABS(H136-I136)*G136)</f>
        <v/>
      </c>
      <c r="AA136" s="22" t="str">
        <f aca="false">IF(OR(J136="",N(Z136)=0),"",ABS(J136-H136)/ABS(H136-I136))</f>
        <v/>
      </c>
      <c r="AB136" s="23" t="str">
        <f aca="false">IF(U136&lt;&gt;"Closed","",(N(L136)*N(M136)+N(N136)*N(O136)+Y136*Q136)/G136)</f>
        <v/>
      </c>
      <c r="AC136" s="24" t="str">
        <f aca="false">IF(U136&lt;&gt;"Closed","",IF($B136="Short",-1,1)*((N(M136)-H136)*N(L136)+(N(O136)-H136)*N(N136)+(Q136-H136)*Y136)-N(R136))</f>
        <v/>
      </c>
      <c r="AD136" s="25" t="str">
        <f aca="false">IF(OR(AC136="",N(Z136)=0),"",AC136/Z136)</f>
        <v/>
      </c>
      <c r="AE136" s="25" t="str">
        <f aca="false">IF(OR(S136="",N(Z136)=0),"",IF($B136="Short",-1,1)*(S136-H136)*G136/Z136)</f>
        <v/>
      </c>
      <c r="AF136" s="25" t="str">
        <f aca="false">IF(OR(T136="",N(Z136)=0),"",IF($B136="Short",-1,1)*(T136-H136)*G136/Z136)</f>
        <v/>
      </c>
      <c r="AG136" s="21" t="str">
        <f aca="false">IF(U136&lt;&gt;"Open","",Y136*MAX(0,IF($B136="Short",-1,1)*(H136-IF(K136="",I136,K136))))</f>
        <v/>
      </c>
      <c r="AH136" s="26" t="str">
        <f aca="false">IF(U136&lt;&gt;"Closed","",DATE(YEAR(P136),MONTH(P136),1))</f>
        <v/>
      </c>
      <c r="AI136" s="19" t="str">
        <f aca="false">IF(U136&lt;&gt;"Closed","",COUNTIFS($U$7:$U$506,"Closed",$P$7:$P$506,"&lt;"&amp;P136)+COUNTIFS($U$7:U136,"Closed",$P$7:P136,P136))</f>
        <v/>
      </c>
    </row>
    <row r="137" customFormat="false" ht="15" hidden="false" customHeight="false" outlineLevel="0" collapsed="false">
      <c r="A137" s="13"/>
      <c r="B137" s="14"/>
      <c r="C137" s="14"/>
      <c r="D137" s="14"/>
      <c r="E137" s="15"/>
      <c r="F137" s="15"/>
      <c r="G137" s="16"/>
      <c r="H137" s="17"/>
      <c r="I137" s="17"/>
      <c r="J137" s="17"/>
      <c r="K137" s="17"/>
      <c r="L137" s="16"/>
      <c r="M137" s="17"/>
      <c r="N137" s="16"/>
      <c r="O137" s="17"/>
      <c r="P137" s="15"/>
      <c r="Q137" s="17"/>
      <c r="R137" s="17"/>
      <c r="S137" s="17"/>
      <c r="T137" s="17"/>
      <c r="U137" s="18" t="str">
        <f aca="false">IF(A137="","",IF(N(G137)-N(L137)-N(N137)&lt;0,"Check shares",IF(AND(P137&lt;&gt;"",Q137&lt;&gt;""),"Closed","Open")))</f>
        <v/>
      </c>
      <c r="V137" s="19" t="str">
        <f aca="false">IF(OR(F137="",P137=""),"",NETWORKDAYS(F137,P137,Lists!$F$5:$F$40)-1)</f>
        <v/>
      </c>
      <c r="W137" s="18" t="str">
        <f aca="false">IF(V137="","",IF(V137=0,"Same day","Overnight"))</f>
        <v/>
      </c>
      <c r="X137" s="18" t="str">
        <f aca="false">IF(OR(E137="",F137=""),"",IF(AND(E137&gt;=F137,OR(P137="",E137&lt;=P137)),"Yes","No"))</f>
        <v/>
      </c>
      <c r="Y137" s="20" t="str">
        <f aca="false">IF(A137="","",N(G137)-N(L137)-N(N137))</f>
        <v/>
      </c>
      <c r="Z137" s="21" t="str">
        <f aca="false">IF(OR(G137="",H137="",I137=""),"",ABS(H137-I137)*G137)</f>
        <v/>
      </c>
      <c r="AA137" s="22" t="str">
        <f aca="false">IF(OR(J137="",N(Z137)=0),"",ABS(J137-H137)/ABS(H137-I137))</f>
        <v/>
      </c>
      <c r="AB137" s="23" t="str">
        <f aca="false">IF(U137&lt;&gt;"Closed","",(N(L137)*N(M137)+N(N137)*N(O137)+Y137*Q137)/G137)</f>
        <v/>
      </c>
      <c r="AC137" s="24" t="str">
        <f aca="false">IF(U137&lt;&gt;"Closed","",IF($B137="Short",-1,1)*((N(M137)-H137)*N(L137)+(N(O137)-H137)*N(N137)+(Q137-H137)*Y137)-N(R137))</f>
        <v/>
      </c>
      <c r="AD137" s="25" t="str">
        <f aca="false">IF(OR(AC137="",N(Z137)=0),"",AC137/Z137)</f>
        <v/>
      </c>
      <c r="AE137" s="25" t="str">
        <f aca="false">IF(OR(S137="",N(Z137)=0),"",IF($B137="Short",-1,1)*(S137-H137)*G137/Z137)</f>
        <v/>
      </c>
      <c r="AF137" s="25" t="str">
        <f aca="false">IF(OR(T137="",N(Z137)=0),"",IF($B137="Short",-1,1)*(T137-H137)*G137/Z137)</f>
        <v/>
      </c>
      <c r="AG137" s="21" t="str">
        <f aca="false">IF(U137&lt;&gt;"Open","",Y137*MAX(0,IF($B137="Short",-1,1)*(H137-IF(K137="",I137,K137))))</f>
        <v/>
      </c>
      <c r="AH137" s="26" t="str">
        <f aca="false">IF(U137&lt;&gt;"Closed","",DATE(YEAR(P137),MONTH(P137),1))</f>
        <v/>
      </c>
      <c r="AI137" s="19" t="str">
        <f aca="false">IF(U137&lt;&gt;"Closed","",COUNTIFS($U$7:$U$506,"Closed",$P$7:$P$506,"&lt;"&amp;P137)+COUNTIFS($U$7:U137,"Closed",$P$7:P137,P137))</f>
        <v/>
      </c>
    </row>
    <row r="138" customFormat="false" ht="15" hidden="false" customHeight="false" outlineLevel="0" collapsed="false">
      <c r="A138" s="13"/>
      <c r="B138" s="14"/>
      <c r="C138" s="14"/>
      <c r="D138" s="14"/>
      <c r="E138" s="15"/>
      <c r="F138" s="15"/>
      <c r="G138" s="16"/>
      <c r="H138" s="17"/>
      <c r="I138" s="17"/>
      <c r="J138" s="17"/>
      <c r="K138" s="17"/>
      <c r="L138" s="16"/>
      <c r="M138" s="17"/>
      <c r="N138" s="16"/>
      <c r="O138" s="17"/>
      <c r="P138" s="15"/>
      <c r="Q138" s="17"/>
      <c r="R138" s="17"/>
      <c r="S138" s="17"/>
      <c r="T138" s="17"/>
      <c r="U138" s="18" t="str">
        <f aca="false">IF(A138="","",IF(N(G138)-N(L138)-N(N138)&lt;0,"Check shares",IF(AND(P138&lt;&gt;"",Q138&lt;&gt;""),"Closed","Open")))</f>
        <v/>
      </c>
      <c r="V138" s="19" t="str">
        <f aca="false">IF(OR(F138="",P138=""),"",NETWORKDAYS(F138,P138,Lists!$F$5:$F$40)-1)</f>
        <v/>
      </c>
      <c r="W138" s="18" t="str">
        <f aca="false">IF(V138="","",IF(V138=0,"Same day","Overnight"))</f>
        <v/>
      </c>
      <c r="X138" s="18" t="str">
        <f aca="false">IF(OR(E138="",F138=""),"",IF(AND(E138&gt;=F138,OR(P138="",E138&lt;=P138)),"Yes","No"))</f>
        <v/>
      </c>
      <c r="Y138" s="20" t="str">
        <f aca="false">IF(A138="","",N(G138)-N(L138)-N(N138))</f>
        <v/>
      </c>
      <c r="Z138" s="21" t="str">
        <f aca="false">IF(OR(G138="",H138="",I138=""),"",ABS(H138-I138)*G138)</f>
        <v/>
      </c>
      <c r="AA138" s="22" t="str">
        <f aca="false">IF(OR(J138="",N(Z138)=0),"",ABS(J138-H138)/ABS(H138-I138))</f>
        <v/>
      </c>
      <c r="AB138" s="23" t="str">
        <f aca="false">IF(U138&lt;&gt;"Closed","",(N(L138)*N(M138)+N(N138)*N(O138)+Y138*Q138)/G138)</f>
        <v/>
      </c>
      <c r="AC138" s="24" t="str">
        <f aca="false">IF(U138&lt;&gt;"Closed","",IF($B138="Short",-1,1)*((N(M138)-H138)*N(L138)+(N(O138)-H138)*N(N138)+(Q138-H138)*Y138)-N(R138))</f>
        <v/>
      </c>
      <c r="AD138" s="25" t="str">
        <f aca="false">IF(OR(AC138="",N(Z138)=0),"",AC138/Z138)</f>
        <v/>
      </c>
      <c r="AE138" s="25" t="str">
        <f aca="false">IF(OR(S138="",N(Z138)=0),"",IF($B138="Short",-1,1)*(S138-H138)*G138/Z138)</f>
        <v/>
      </c>
      <c r="AF138" s="25" t="str">
        <f aca="false">IF(OR(T138="",N(Z138)=0),"",IF($B138="Short",-1,1)*(T138-H138)*G138/Z138)</f>
        <v/>
      </c>
      <c r="AG138" s="21" t="str">
        <f aca="false">IF(U138&lt;&gt;"Open","",Y138*MAX(0,IF($B138="Short",-1,1)*(H138-IF(K138="",I138,K138))))</f>
        <v/>
      </c>
      <c r="AH138" s="26" t="str">
        <f aca="false">IF(U138&lt;&gt;"Closed","",DATE(YEAR(P138),MONTH(P138),1))</f>
        <v/>
      </c>
      <c r="AI138" s="19" t="str">
        <f aca="false">IF(U138&lt;&gt;"Closed","",COUNTIFS($U$7:$U$506,"Closed",$P$7:$P$506,"&lt;"&amp;P138)+COUNTIFS($U$7:U138,"Closed",$P$7:P138,P138))</f>
        <v/>
      </c>
    </row>
    <row r="139" customFormat="false" ht="15" hidden="false" customHeight="false" outlineLevel="0" collapsed="false">
      <c r="A139" s="13"/>
      <c r="B139" s="14"/>
      <c r="C139" s="14"/>
      <c r="D139" s="14"/>
      <c r="E139" s="15"/>
      <c r="F139" s="15"/>
      <c r="G139" s="16"/>
      <c r="H139" s="17"/>
      <c r="I139" s="17"/>
      <c r="J139" s="17"/>
      <c r="K139" s="17"/>
      <c r="L139" s="16"/>
      <c r="M139" s="17"/>
      <c r="N139" s="16"/>
      <c r="O139" s="17"/>
      <c r="P139" s="15"/>
      <c r="Q139" s="17"/>
      <c r="R139" s="17"/>
      <c r="S139" s="17"/>
      <c r="T139" s="17"/>
      <c r="U139" s="18" t="str">
        <f aca="false">IF(A139="","",IF(N(G139)-N(L139)-N(N139)&lt;0,"Check shares",IF(AND(P139&lt;&gt;"",Q139&lt;&gt;""),"Closed","Open")))</f>
        <v/>
      </c>
      <c r="V139" s="19" t="str">
        <f aca="false">IF(OR(F139="",P139=""),"",NETWORKDAYS(F139,P139,Lists!$F$5:$F$40)-1)</f>
        <v/>
      </c>
      <c r="W139" s="18" t="str">
        <f aca="false">IF(V139="","",IF(V139=0,"Same day","Overnight"))</f>
        <v/>
      </c>
      <c r="X139" s="18" t="str">
        <f aca="false">IF(OR(E139="",F139=""),"",IF(AND(E139&gt;=F139,OR(P139="",E139&lt;=P139)),"Yes","No"))</f>
        <v/>
      </c>
      <c r="Y139" s="20" t="str">
        <f aca="false">IF(A139="","",N(G139)-N(L139)-N(N139))</f>
        <v/>
      </c>
      <c r="Z139" s="21" t="str">
        <f aca="false">IF(OR(G139="",H139="",I139=""),"",ABS(H139-I139)*G139)</f>
        <v/>
      </c>
      <c r="AA139" s="22" t="str">
        <f aca="false">IF(OR(J139="",N(Z139)=0),"",ABS(J139-H139)/ABS(H139-I139))</f>
        <v/>
      </c>
      <c r="AB139" s="23" t="str">
        <f aca="false">IF(U139&lt;&gt;"Closed","",(N(L139)*N(M139)+N(N139)*N(O139)+Y139*Q139)/G139)</f>
        <v/>
      </c>
      <c r="AC139" s="24" t="str">
        <f aca="false">IF(U139&lt;&gt;"Closed","",IF($B139="Short",-1,1)*((N(M139)-H139)*N(L139)+(N(O139)-H139)*N(N139)+(Q139-H139)*Y139)-N(R139))</f>
        <v/>
      </c>
      <c r="AD139" s="25" t="str">
        <f aca="false">IF(OR(AC139="",N(Z139)=0),"",AC139/Z139)</f>
        <v/>
      </c>
      <c r="AE139" s="25" t="str">
        <f aca="false">IF(OR(S139="",N(Z139)=0),"",IF($B139="Short",-1,1)*(S139-H139)*G139/Z139)</f>
        <v/>
      </c>
      <c r="AF139" s="25" t="str">
        <f aca="false">IF(OR(T139="",N(Z139)=0),"",IF($B139="Short",-1,1)*(T139-H139)*G139/Z139)</f>
        <v/>
      </c>
      <c r="AG139" s="21" t="str">
        <f aca="false">IF(U139&lt;&gt;"Open","",Y139*MAX(0,IF($B139="Short",-1,1)*(H139-IF(K139="",I139,K139))))</f>
        <v/>
      </c>
      <c r="AH139" s="26" t="str">
        <f aca="false">IF(U139&lt;&gt;"Closed","",DATE(YEAR(P139),MONTH(P139),1))</f>
        <v/>
      </c>
      <c r="AI139" s="19" t="str">
        <f aca="false">IF(U139&lt;&gt;"Closed","",COUNTIFS($U$7:$U$506,"Closed",$P$7:$P$506,"&lt;"&amp;P139)+COUNTIFS($U$7:U139,"Closed",$P$7:P139,P139))</f>
        <v/>
      </c>
    </row>
    <row r="140" customFormat="false" ht="15" hidden="false" customHeight="false" outlineLevel="0" collapsed="false">
      <c r="A140" s="13"/>
      <c r="B140" s="14"/>
      <c r="C140" s="14"/>
      <c r="D140" s="14"/>
      <c r="E140" s="15"/>
      <c r="F140" s="15"/>
      <c r="G140" s="16"/>
      <c r="H140" s="17"/>
      <c r="I140" s="17"/>
      <c r="J140" s="17"/>
      <c r="K140" s="17"/>
      <c r="L140" s="16"/>
      <c r="M140" s="17"/>
      <c r="N140" s="16"/>
      <c r="O140" s="17"/>
      <c r="P140" s="15"/>
      <c r="Q140" s="17"/>
      <c r="R140" s="17"/>
      <c r="S140" s="17"/>
      <c r="T140" s="17"/>
      <c r="U140" s="18" t="str">
        <f aca="false">IF(A140="","",IF(N(G140)-N(L140)-N(N140)&lt;0,"Check shares",IF(AND(P140&lt;&gt;"",Q140&lt;&gt;""),"Closed","Open")))</f>
        <v/>
      </c>
      <c r="V140" s="19" t="str">
        <f aca="false">IF(OR(F140="",P140=""),"",NETWORKDAYS(F140,P140,Lists!$F$5:$F$40)-1)</f>
        <v/>
      </c>
      <c r="W140" s="18" t="str">
        <f aca="false">IF(V140="","",IF(V140=0,"Same day","Overnight"))</f>
        <v/>
      </c>
      <c r="X140" s="18" t="str">
        <f aca="false">IF(OR(E140="",F140=""),"",IF(AND(E140&gt;=F140,OR(P140="",E140&lt;=P140)),"Yes","No"))</f>
        <v/>
      </c>
      <c r="Y140" s="20" t="str">
        <f aca="false">IF(A140="","",N(G140)-N(L140)-N(N140))</f>
        <v/>
      </c>
      <c r="Z140" s="21" t="str">
        <f aca="false">IF(OR(G140="",H140="",I140=""),"",ABS(H140-I140)*G140)</f>
        <v/>
      </c>
      <c r="AA140" s="22" t="str">
        <f aca="false">IF(OR(J140="",N(Z140)=0),"",ABS(J140-H140)/ABS(H140-I140))</f>
        <v/>
      </c>
      <c r="AB140" s="23" t="str">
        <f aca="false">IF(U140&lt;&gt;"Closed","",(N(L140)*N(M140)+N(N140)*N(O140)+Y140*Q140)/G140)</f>
        <v/>
      </c>
      <c r="AC140" s="24" t="str">
        <f aca="false">IF(U140&lt;&gt;"Closed","",IF($B140="Short",-1,1)*((N(M140)-H140)*N(L140)+(N(O140)-H140)*N(N140)+(Q140-H140)*Y140)-N(R140))</f>
        <v/>
      </c>
      <c r="AD140" s="25" t="str">
        <f aca="false">IF(OR(AC140="",N(Z140)=0),"",AC140/Z140)</f>
        <v/>
      </c>
      <c r="AE140" s="25" t="str">
        <f aca="false">IF(OR(S140="",N(Z140)=0),"",IF($B140="Short",-1,1)*(S140-H140)*G140/Z140)</f>
        <v/>
      </c>
      <c r="AF140" s="25" t="str">
        <f aca="false">IF(OR(T140="",N(Z140)=0),"",IF($B140="Short",-1,1)*(T140-H140)*G140/Z140)</f>
        <v/>
      </c>
      <c r="AG140" s="21" t="str">
        <f aca="false">IF(U140&lt;&gt;"Open","",Y140*MAX(0,IF($B140="Short",-1,1)*(H140-IF(K140="",I140,K140))))</f>
        <v/>
      </c>
      <c r="AH140" s="26" t="str">
        <f aca="false">IF(U140&lt;&gt;"Closed","",DATE(YEAR(P140),MONTH(P140),1))</f>
        <v/>
      </c>
      <c r="AI140" s="19" t="str">
        <f aca="false">IF(U140&lt;&gt;"Closed","",COUNTIFS($U$7:$U$506,"Closed",$P$7:$P$506,"&lt;"&amp;P140)+COUNTIFS($U$7:U140,"Closed",$P$7:P140,P140))</f>
        <v/>
      </c>
    </row>
    <row r="141" customFormat="false" ht="15" hidden="false" customHeight="false" outlineLevel="0" collapsed="false">
      <c r="A141" s="13"/>
      <c r="B141" s="14"/>
      <c r="C141" s="14"/>
      <c r="D141" s="14"/>
      <c r="E141" s="15"/>
      <c r="F141" s="15"/>
      <c r="G141" s="16"/>
      <c r="H141" s="17"/>
      <c r="I141" s="17"/>
      <c r="J141" s="17"/>
      <c r="K141" s="17"/>
      <c r="L141" s="16"/>
      <c r="M141" s="17"/>
      <c r="N141" s="16"/>
      <c r="O141" s="17"/>
      <c r="P141" s="15"/>
      <c r="Q141" s="17"/>
      <c r="R141" s="17"/>
      <c r="S141" s="17"/>
      <c r="T141" s="17"/>
      <c r="U141" s="18" t="str">
        <f aca="false">IF(A141="","",IF(N(G141)-N(L141)-N(N141)&lt;0,"Check shares",IF(AND(P141&lt;&gt;"",Q141&lt;&gt;""),"Closed","Open")))</f>
        <v/>
      </c>
      <c r="V141" s="19" t="str">
        <f aca="false">IF(OR(F141="",P141=""),"",NETWORKDAYS(F141,P141,Lists!$F$5:$F$40)-1)</f>
        <v/>
      </c>
      <c r="W141" s="18" t="str">
        <f aca="false">IF(V141="","",IF(V141=0,"Same day","Overnight"))</f>
        <v/>
      </c>
      <c r="X141" s="18" t="str">
        <f aca="false">IF(OR(E141="",F141=""),"",IF(AND(E141&gt;=F141,OR(P141="",E141&lt;=P141)),"Yes","No"))</f>
        <v/>
      </c>
      <c r="Y141" s="20" t="str">
        <f aca="false">IF(A141="","",N(G141)-N(L141)-N(N141))</f>
        <v/>
      </c>
      <c r="Z141" s="21" t="str">
        <f aca="false">IF(OR(G141="",H141="",I141=""),"",ABS(H141-I141)*G141)</f>
        <v/>
      </c>
      <c r="AA141" s="22" t="str">
        <f aca="false">IF(OR(J141="",N(Z141)=0),"",ABS(J141-H141)/ABS(H141-I141))</f>
        <v/>
      </c>
      <c r="AB141" s="23" t="str">
        <f aca="false">IF(U141&lt;&gt;"Closed","",(N(L141)*N(M141)+N(N141)*N(O141)+Y141*Q141)/G141)</f>
        <v/>
      </c>
      <c r="AC141" s="24" t="str">
        <f aca="false">IF(U141&lt;&gt;"Closed","",IF($B141="Short",-1,1)*((N(M141)-H141)*N(L141)+(N(O141)-H141)*N(N141)+(Q141-H141)*Y141)-N(R141))</f>
        <v/>
      </c>
      <c r="AD141" s="25" t="str">
        <f aca="false">IF(OR(AC141="",N(Z141)=0),"",AC141/Z141)</f>
        <v/>
      </c>
      <c r="AE141" s="25" t="str">
        <f aca="false">IF(OR(S141="",N(Z141)=0),"",IF($B141="Short",-1,1)*(S141-H141)*G141/Z141)</f>
        <v/>
      </c>
      <c r="AF141" s="25" t="str">
        <f aca="false">IF(OR(T141="",N(Z141)=0),"",IF($B141="Short",-1,1)*(T141-H141)*G141/Z141)</f>
        <v/>
      </c>
      <c r="AG141" s="21" t="str">
        <f aca="false">IF(U141&lt;&gt;"Open","",Y141*MAX(0,IF($B141="Short",-1,1)*(H141-IF(K141="",I141,K141))))</f>
        <v/>
      </c>
      <c r="AH141" s="26" t="str">
        <f aca="false">IF(U141&lt;&gt;"Closed","",DATE(YEAR(P141),MONTH(P141),1))</f>
        <v/>
      </c>
      <c r="AI141" s="19" t="str">
        <f aca="false">IF(U141&lt;&gt;"Closed","",COUNTIFS($U$7:$U$506,"Closed",$P$7:$P$506,"&lt;"&amp;P141)+COUNTIFS($U$7:U141,"Closed",$P$7:P141,P141))</f>
        <v/>
      </c>
    </row>
    <row r="142" customFormat="false" ht="15" hidden="false" customHeight="false" outlineLevel="0" collapsed="false">
      <c r="A142" s="13"/>
      <c r="B142" s="14"/>
      <c r="C142" s="14"/>
      <c r="D142" s="14"/>
      <c r="E142" s="15"/>
      <c r="F142" s="15"/>
      <c r="G142" s="16"/>
      <c r="H142" s="17"/>
      <c r="I142" s="17"/>
      <c r="J142" s="17"/>
      <c r="K142" s="17"/>
      <c r="L142" s="16"/>
      <c r="M142" s="17"/>
      <c r="N142" s="16"/>
      <c r="O142" s="17"/>
      <c r="P142" s="15"/>
      <c r="Q142" s="17"/>
      <c r="R142" s="17"/>
      <c r="S142" s="17"/>
      <c r="T142" s="17"/>
      <c r="U142" s="18" t="str">
        <f aca="false">IF(A142="","",IF(N(G142)-N(L142)-N(N142)&lt;0,"Check shares",IF(AND(P142&lt;&gt;"",Q142&lt;&gt;""),"Closed","Open")))</f>
        <v/>
      </c>
      <c r="V142" s="19" t="str">
        <f aca="false">IF(OR(F142="",P142=""),"",NETWORKDAYS(F142,P142,Lists!$F$5:$F$40)-1)</f>
        <v/>
      </c>
      <c r="W142" s="18" t="str">
        <f aca="false">IF(V142="","",IF(V142=0,"Same day","Overnight"))</f>
        <v/>
      </c>
      <c r="X142" s="18" t="str">
        <f aca="false">IF(OR(E142="",F142=""),"",IF(AND(E142&gt;=F142,OR(P142="",E142&lt;=P142)),"Yes","No"))</f>
        <v/>
      </c>
      <c r="Y142" s="20" t="str">
        <f aca="false">IF(A142="","",N(G142)-N(L142)-N(N142))</f>
        <v/>
      </c>
      <c r="Z142" s="21" t="str">
        <f aca="false">IF(OR(G142="",H142="",I142=""),"",ABS(H142-I142)*G142)</f>
        <v/>
      </c>
      <c r="AA142" s="22" t="str">
        <f aca="false">IF(OR(J142="",N(Z142)=0),"",ABS(J142-H142)/ABS(H142-I142))</f>
        <v/>
      </c>
      <c r="AB142" s="23" t="str">
        <f aca="false">IF(U142&lt;&gt;"Closed","",(N(L142)*N(M142)+N(N142)*N(O142)+Y142*Q142)/G142)</f>
        <v/>
      </c>
      <c r="AC142" s="24" t="str">
        <f aca="false">IF(U142&lt;&gt;"Closed","",IF($B142="Short",-1,1)*((N(M142)-H142)*N(L142)+(N(O142)-H142)*N(N142)+(Q142-H142)*Y142)-N(R142))</f>
        <v/>
      </c>
      <c r="AD142" s="25" t="str">
        <f aca="false">IF(OR(AC142="",N(Z142)=0),"",AC142/Z142)</f>
        <v/>
      </c>
      <c r="AE142" s="25" t="str">
        <f aca="false">IF(OR(S142="",N(Z142)=0),"",IF($B142="Short",-1,1)*(S142-H142)*G142/Z142)</f>
        <v/>
      </c>
      <c r="AF142" s="25" t="str">
        <f aca="false">IF(OR(T142="",N(Z142)=0),"",IF($B142="Short",-1,1)*(T142-H142)*G142/Z142)</f>
        <v/>
      </c>
      <c r="AG142" s="21" t="str">
        <f aca="false">IF(U142&lt;&gt;"Open","",Y142*MAX(0,IF($B142="Short",-1,1)*(H142-IF(K142="",I142,K142))))</f>
        <v/>
      </c>
      <c r="AH142" s="26" t="str">
        <f aca="false">IF(U142&lt;&gt;"Closed","",DATE(YEAR(P142),MONTH(P142),1))</f>
        <v/>
      </c>
      <c r="AI142" s="19" t="str">
        <f aca="false">IF(U142&lt;&gt;"Closed","",COUNTIFS($U$7:$U$506,"Closed",$P$7:$P$506,"&lt;"&amp;P142)+COUNTIFS($U$7:U142,"Closed",$P$7:P142,P142))</f>
        <v/>
      </c>
    </row>
    <row r="143" customFormat="false" ht="15" hidden="false" customHeight="false" outlineLevel="0" collapsed="false">
      <c r="A143" s="13"/>
      <c r="B143" s="14"/>
      <c r="C143" s="14"/>
      <c r="D143" s="14"/>
      <c r="E143" s="15"/>
      <c r="F143" s="15"/>
      <c r="G143" s="16"/>
      <c r="H143" s="17"/>
      <c r="I143" s="17"/>
      <c r="J143" s="17"/>
      <c r="K143" s="17"/>
      <c r="L143" s="16"/>
      <c r="M143" s="17"/>
      <c r="N143" s="16"/>
      <c r="O143" s="17"/>
      <c r="P143" s="15"/>
      <c r="Q143" s="17"/>
      <c r="R143" s="17"/>
      <c r="S143" s="17"/>
      <c r="T143" s="17"/>
      <c r="U143" s="18" t="str">
        <f aca="false">IF(A143="","",IF(N(G143)-N(L143)-N(N143)&lt;0,"Check shares",IF(AND(P143&lt;&gt;"",Q143&lt;&gt;""),"Closed","Open")))</f>
        <v/>
      </c>
      <c r="V143" s="19" t="str">
        <f aca="false">IF(OR(F143="",P143=""),"",NETWORKDAYS(F143,P143,Lists!$F$5:$F$40)-1)</f>
        <v/>
      </c>
      <c r="W143" s="18" t="str">
        <f aca="false">IF(V143="","",IF(V143=0,"Same day","Overnight"))</f>
        <v/>
      </c>
      <c r="X143" s="18" t="str">
        <f aca="false">IF(OR(E143="",F143=""),"",IF(AND(E143&gt;=F143,OR(P143="",E143&lt;=P143)),"Yes","No"))</f>
        <v/>
      </c>
      <c r="Y143" s="20" t="str">
        <f aca="false">IF(A143="","",N(G143)-N(L143)-N(N143))</f>
        <v/>
      </c>
      <c r="Z143" s="21" t="str">
        <f aca="false">IF(OR(G143="",H143="",I143=""),"",ABS(H143-I143)*G143)</f>
        <v/>
      </c>
      <c r="AA143" s="22" t="str">
        <f aca="false">IF(OR(J143="",N(Z143)=0),"",ABS(J143-H143)/ABS(H143-I143))</f>
        <v/>
      </c>
      <c r="AB143" s="23" t="str">
        <f aca="false">IF(U143&lt;&gt;"Closed","",(N(L143)*N(M143)+N(N143)*N(O143)+Y143*Q143)/G143)</f>
        <v/>
      </c>
      <c r="AC143" s="24" t="str">
        <f aca="false">IF(U143&lt;&gt;"Closed","",IF($B143="Short",-1,1)*((N(M143)-H143)*N(L143)+(N(O143)-H143)*N(N143)+(Q143-H143)*Y143)-N(R143))</f>
        <v/>
      </c>
      <c r="AD143" s="25" t="str">
        <f aca="false">IF(OR(AC143="",N(Z143)=0),"",AC143/Z143)</f>
        <v/>
      </c>
      <c r="AE143" s="25" t="str">
        <f aca="false">IF(OR(S143="",N(Z143)=0),"",IF($B143="Short",-1,1)*(S143-H143)*G143/Z143)</f>
        <v/>
      </c>
      <c r="AF143" s="25" t="str">
        <f aca="false">IF(OR(T143="",N(Z143)=0),"",IF($B143="Short",-1,1)*(T143-H143)*G143/Z143)</f>
        <v/>
      </c>
      <c r="AG143" s="21" t="str">
        <f aca="false">IF(U143&lt;&gt;"Open","",Y143*MAX(0,IF($B143="Short",-1,1)*(H143-IF(K143="",I143,K143))))</f>
        <v/>
      </c>
      <c r="AH143" s="26" t="str">
        <f aca="false">IF(U143&lt;&gt;"Closed","",DATE(YEAR(P143),MONTH(P143),1))</f>
        <v/>
      </c>
      <c r="AI143" s="19" t="str">
        <f aca="false">IF(U143&lt;&gt;"Closed","",COUNTIFS($U$7:$U$506,"Closed",$P$7:$P$506,"&lt;"&amp;P143)+COUNTIFS($U$7:U143,"Closed",$P$7:P143,P143))</f>
        <v/>
      </c>
    </row>
    <row r="144" customFormat="false" ht="15" hidden="false" customHeight="false" outlineLevel="0" collapsed="false">
      <c r="A144" s="13"/>
      <c r="B144" s="14"/>
      <c r="C144" s="14"/>
      <c r="D144" s="14"/>
      <c r="E144" s="15"/>
      <c r="F144" s="15"/>
      <c r="G144" s="16"/>
      <c r="H144" s="17"/>
      <c r="I144" s="17"/>
      <c r="J144" s="17"/>
      <c r="K144" s="17"/>
      <c r="L144" s="16"/>
      <c r="M144" s="17"/>
      <c r="N144" s="16"/>
      <c r="O144" s="17"/>
      <c r="P144" s="15"/>
      <c r="Q144" s="17"/>
      <c r="R144" s="17"/>
      <c r="S144" s="17"/>
      <c r="T144" s="17"/>
      <c r="U144" s="18" t="str">
        <f aca="false">IF(A144="","",IF(N(G144)-N(L144)-N(N144)&lt;0,"Check shares",IF(AND(P144&lt;&gt;"",Q144&lt;&gt;""),"Closed","Open")))</f>
        <v/>
      </c>
      <c r="V144" s="19" t="str">
        <f aca="false">IF(OR(F144="",P144=""),"",NETWORKDAYS(F144,P144,Lists!$F$5:$F$40)-1)</f>
        <v/>
      </c>
      <c r="W144" s="18" t="str">
        <f aca="false">IF(V144="","",IF(V144=0,"Same day","Overnight"))</f>
        <v/>
      </c>
      <c r="X144" s="18" t="str">
        <f aca="false">IF(OR(E144="",F144=""),"",IF(AND(E144&gt;=F144,OR(P144="",E144&lt;=P144)),"Yes","No"))</f>
        <v/>
      </c>
      <c r="Y144" s="20" t="str">
        <f aca="false">IF(A144="","",N(G144)-N(L144)-N(N144))</f>
        <v/>
      </c>
      <c r="Z144" s="21" t="str">
        <f aca="false">IF(OR(G144="",H144="",I144=""),"",ABS(H144-I144)*G144)</f>
        <v/>
      </c>
      <c r="AA144" s="22" t="str">
        <f aca="false">IF(OR(J144="",N(Z144)=0),"",ABS(J144-H144)/ABS(H144-I144))</f>
        <v/>
      </c>
      <c r="AB144" s="23" t="str">
        <f aca="false">IF(U144&lt;&gt;"Closed","",(N(L144)*N(M144)+N(N144)*N(O144)+Y144*Q144)/G144)</f>
        <v/>
      </c>
      <c r="AC144" s="24" t="str">
        <f aca="false">IF(U144&lt;&gt;"Closed","",IF($B144="Short",-1,1)*((N(M144)-H144)*N(L144)+(N(O144)-H144)*N(N144)+(Q144-H144)*Y144)-N(R144))</f>
        <v/>
      </c>
      <c r="AD144" s="25" t="str">
        <f aca="false">IF(OR(AC144="",N(Z144)=0),"",AC144/Z144)</f>
        <v/>
      </c>
      <c r="AE144" s="25" t="str">
        <f aca="false">IF(OR(S144="",N(Z144)=0),"",IF($B144="Short",-1,1)*(S144-H144)*G144/Z144)</f>
        <v/>
      </c>
      <c r="AF144" s="25" t="str">
        <f aca="false">IF(OR(T144="",N(Z144)=0),"",IF($B144="Short",-1,1)*(T144-H144)*G144/Z144)</f>
        <v/>
      </c>
      <c r="AG144" s="21" t="str">
        <f aca="false">IF(U144&lt;&gt;"Open","",Y144*MAX(0,IF($B144="Short",-1,1)*(H144-IF(K144="",I144,K144))))</f>
        <v/>
      </c>
      <c r="AH144" s="26" t="str">
        <f aca="false">IF(U144&lt;&gt;"Closed","",DATE(YEAR(P144),MONTH(P144),1))</f>
        <v/>
      </c>
      <c r="AI144" s="19" t="str">
        <f aca="false">IF(U144&lt;&gt;"Closed","",COUNTIFS($U$7:$U$506,"Closed",$P$7:$P$506,"&lt;"&amp;P144)+COUNTIFS($U$7:U144,"Closed",$P$7:P144,P144))</f>
        <v/>
      </c>
    </row>
    <row r="145" customFormat="false" ht="15" hidden="false" customHeight="false" outlineLevel="0" collapsed="false">
      <c r="A145" s="13"/>
      <c r="B145" s="14"/>
      <c r="C145" s="14"/>
      <c r="D145" s="14"/>
      <c r="E145" s="15"/>
      <c r="F145" s="15"/>
      <c r="G145" s="16"/>
      <c r="H145" s="17"/>
      <c r="I145" s="17"/>
      <c r="J145" s="17"/>
      <c r="K145" s="17"/>
      <c r="L145" s="16"/>
      <c r="M145" s="17"/>
      <c r="N145" s="16"/>
      <c r="O145" s="17"/>
      <c r="P145" s="15"/>
      <c r="Q145" s="17"/>
      <c r="R145" s="17"/>
      <c r="S145" s="17"/>
      <c r="T145" s="17"/>
      <c r="U145" s="18" t="str">
        <f aca="false">IF(A145="","",IF(N(G145)-N(L145)-N(N145)&lt;0,"Check shares",IF(AND(P145&lt;&gt;"",Q145&lt;&gt;""),"Closed","Open")))</f>
        <v/>
      </c>
      <c r="V145" s="19" t="str">
        <f aca="false">IF(OR(F145="",P145=""),"",NETWORKDAYS(F145,P145,Lists!$F$5:$F$40)-1)</f>
        <v/>
      </c>
      <c r="W145" s="18" t="str">
        <f aca="false">IF(V145="","",IF(V145=0,"Same day","Overnight"))</f>
        <v/>
      </c>
      <c r="X145" s="18" t="str">
        <f aca="false">IF(OR(E145="",F145=""),"",IF(AND(E145&gt;=F145,OR(P145="",E145&lt;=P145)),"Yes","No"))</f>
        <v/>
      </c>
      <c r="Y145" s="20" t="str">
        <f aca="false">IF(A145="","",N(G145)-N(L145)-N(N145))</f>
        <v/>
      </c>
      <c r="Z145" s="21" t="str">
        <f aca="false">IF(OR(G145="",H145="",I145=""),"",ABS(H145-I145)*G145)</f>
        <v/>
      </c>
      <c r="AA145" s="22" t="str">
        <f aca="false">IF(OR(J145="",N(Z145)=0),"",ABS(J145-H145)/ABS(H145-I145))</f>
        <v/>
      </c>
      <c r="AB145" s="23" t="str">
        <f aca="false">IF(U145&lt;&gt;"Closed","",(N(L145)*N(M145)+N(N145)*N(O145)+Y145*Q145)/G145)</f>
        <v/>
      </c>
      <c r="AC145" s="24" t="str">
        <f aca="false">IF(U145&lt;&gt;"Closed","",IF($B145="Short",-1,1)*((N(M145)-H145)*N(L145)+(N(O145)-H145)*N(N145)+(Q145-H145)*Y145)-N(R145))</f>
        <v/>
      </c>
      <c r="AD145" s="25" t="str">
        <f aca="false">IF(OR(AC145="",N(Z145)=0),"",AC145/Z145)</f>
        <v/>
      </c>
      <c r="AE145" s="25" t="str">
        <f aca="false">IF(OR(S145="",N(Z145)=0),"",IF($B145="Short",-1,1)*(S145-H145)*G145/Z145)</f>
        <v/>
      </c>
      <c r="AF145" s="25" t="str">
        <f aca="false">IF(OR(T145="",N(Z145)=0),"",IF($B145="Short",-1,1)*(T145-H145)*G145/Z145)</f>
        <v/>
      </c>
      <c r="AG145" s="21" t="str">
        <f aca="false">IF(U145&lt;&gt;"Open","",Y145*MAX(0,IF($B145="Short",-1,1)*(H145-IF(K145="",I145,K145))))</f>
        <v/>
      </c>
      <c r="AH145" s="26" t="str">
        <f aca="false">IF(U145&lt;&gt;"Closed","",DATE(YEAR(P145),MONTH(P145),1))</f>
        <v/>
      </c>
      <c r="AI145" s="19" t="str">
        <f aca="false">IF(U145&lt;&gt;"Closed","",COUNTIFS($U$7:$U$506,"Closed",$P$7:$P$506,"&lt;"&amp;P145)+COUNTIFS($U$7:U145,"Closed",$P$7:P145,P145))</f>
        <v/>
      </c>
    </row>
    <row r="146" customFormat="false" ht="15" hidden="false" customHeight="false" outlineLevel="0" collapsed="false">
      <c r="A146" s="13"/>
      <c r="B146" s="14"/>
      <c r="C146" s="14"/>
      <c r="D146" s="14"/>
      <c r="E146" s="15"/>
      <c r="F146" s="15"/>
      <c r="G146" s="16"/>
      <c r="H146" s="17"/>
      <c r="I146" s="17"/>
      <c r="J146" s="17"/>
      <c r="K146" s="17"/>
      <c r="L146" s="16"/>
      <c r="M146" s="17"/>
      <c r="N146" s="16"/>
      <c r="O146" s="17"/>
      <c r="P146" s="15"/>
      <c r="Q146" s="17"/>
      <c r="R146" s="17"/>
      <c r="S146" s="17"/>
      <c r="T146" s="17"/>
      <c r="U146" s="18" t="str">
        <f aca="false">IF(A146="","",IF(N(G146)-N(L146)-N(N146)&lt;0,"Check shares",IF(AND(P146&lt;&gt;"",Q146&lt;&gt;""),"Closed","Open")))</f>
        <v/>
      </c>
      <c r="V146" s="19" t="str">
        <f aca="false">IF(OR(F146="",P146=""),"",NETWORKDAYS(F146,P146,Lists!$F$5:$F$40)-1)</f>
        <v/>
      </c>
      <c r="W146" s="18" t="str">
        <f aca="false">IF(V146="","",IF(V146=0,"Same day","Overnight"))</f>
        <v/>
      </c>
      <c r="X146" s="18" t="str">
        <f aca="false">IF(OR(E146="",F146=""),"",IF(AND(E146&gt;=F146,OR(P146="",E146&lt;=P146)),"Yes","No"))</f>
        <v/>
      </c>
      <c r="Y146" s="20" t="str">
        <f aca="false">IF(A146="","",N(G146)-N(L146)-N(N146))</f>
        <v/>
      </c>
      <c r="Z146" s="21" t="str">
        <f aca="false">IF(OR(G146="",H146="",I146=""),"",ABS(H146-I146)*G146)</f>
        <v/>
      </c>
      <c r="AA146" s="22" t="str">
        <f aca="false">IF(OR(J146="",N(Z146)=0),"",ABS(J146-H146)/ABS(H146-I146))</f>
        <v/>
      </c>
      <c r="AB146" s="23" t="str">
        <f aca="false">IF(U146&lt;&gt;"Closed","",(N(L146)*N(M146)+N(N146)*N(O146)+Y146*Q146)/G146)</f>
        <v/>
      </c>
      <c r="AC146" s="24" t="str">
        <f aca="false">IF(U146&lt;&gt;"Closed","",IF($B146="Short",-1,1)*((N(M146)-H146)*N(L146)+(N(O146)-H146)*N(N146)+(Q146-H146)*Y146)-N(R146))</f>
        <v/>
      </c>
      <c r="AD146" s="25" t="str">
        <f aca="false">IF(OR(AC146="",N(Z146)=0),"",AC146/Z146)</f>
        <v/>
      </c>
      <c r="AE146" s="25" t="str">
        <f aca="false">IF(OR(S146="",N(Z146)=0),"",IF($B146="Short",-1,1)*(S146-H146)*G146/Z146)</f>
        <v/>
      </c>
      <c r="AF146" s="25" t="str">
        <f aca="false">IF(OR(T146="",N(Z146)=0),"",IF($B146="Short",-1,1)*(T146-H146)*G146/Z146)</f>
        <v/>
      </c>
      <c r="AG146" s="21" t="str">
        <f aca="false">IF(U146&lt;&gt;"Open","",Y146*MAX(0,IF($B146="Short",-1,1)*(H146-IF(K146="",I146,K146))))</f>
        <v/>
      </c>
      <c r="AH146" s="26" t="str">
        <f aca="false">IF(U146&lt;&gt;"Closed","",DATE(YEAR(P146),MONTH(P146),1))</f>
        <v/>
      </c>
      <c r="AI146" s="19" t="str">
        <f aca="false">IF(U146&lt;&gt;"Closed","",COUNTIFS($U$7:$U$506,"Closed",$P$7:$P$506,"&lt;"&amp;P146)+COUNTIFS($U$7:U146,"Closed",$P$7:P146,P146))</f>
        <v/>
      </c>
    </row>
    <row r="147" customFormat="false" ht="15" hidden="false" customHeight="false" outlineLevel="0" collapsed="false">
      <c r="A147" s="13"/>
      <c r="B147" s="14"/>
      <c r="C147" s="14"/>
      <c r="D147" s="14"/>
      <c r="E147" s="15"/>
      <c r="F147" s="15"/>
      <c r="G147" s="16"/>
      <c r="H147" s="17"/>
      <c r="I147" s="17"/>
      <c r="J147" s="17"/>
      <c r="K147" s="17"/>
      <c r="L147" s="16"/>
      <c r="M147" s="17"/>
      <c r="N147" s="16"/>
      <c r="O147" s="17"/>
      <c r="P147" s="15"/>
      <c r="Q147" s="17"/>
      <c r="R147" s="17"/>
      <c r="S147" s="17"/>
      <c r="T147" s="17"/>
      <c r="U147" s="18" t="str">
        <f aca="false">IF(A147="","",IF(N(G147)-N(L147)-N(N147)&lt;0,"Check shares",IF(AND(P147&lt;&gt;"",Q147&lt;&gt;""),"Closed","Open")))</f>
        <v/>
      </c>
      <c r="V147" s="19" t="str">
        <f aca="false">IF(OR(F147="",P147=""),"",NETWORKDAYS(F147,P147,Lists!$F$5:$F$40)-1)</f>
        <v/>
      </c>
      <c r="W147" s="18" t="str">
        <f aca="false">IF(V147="","",IF(V147=0,"Same day","Overnight"))</f>
        <v/>
      </c>
      <c r="X147" s="18" t="str">
        <f aca="false">IF(OR(E147="",F147=""),"",IF(AND(E147&gt;=F147,OR(P147="",E147&lt;=P147)),"Yes","No"))</f>
        <v/>
      </c>
      <c r="Y147" s="20" t="str">
        <f aca="false">IF(A147="","",N(G147)-N(L147)-N(N147))</f>
        <v/>
      </c>
      <c r="Z147" s="21" t="str">
        <f aca="false">IF(OR(G147="",H147="",I147=""),"",ABS(H147-I147)*G147)</f>
        <v/>
      </c>
      <c r="AA147" s="22" t="str">
        <f aca="false">IF(OR(J147="",N(Z147)=0),"",ABS(J147-H147)/ABS(H147-I147))</f>
        <v/>
      </c>
      <c r="AB147" s="23" t="str">
        <f aca="false">IF(U147&lt;&gt;"Closed","",(N(L147)*N(M147)+N(N147)*N(O147)+Y147*Q147)/G147)</f>
        <v/>
      </c>
      <c r="AC147" s="24" t="str">
        <f aca="false">IF(U147&lt;&gt;"Closed","",IF($B147="Short",-1,1)*((N(M147)-H147)*N(L147)+(N(O147)-H147)*N(N147)+(Q147-H147)*Y147)-N(R147))</f>
        <v/>
      </c>
      <c r="AD147" s="25" t="str">
        <f aca="false">IF(OR(AC147="",N(Z147)=0),"",AC147/Z147)</f>
        <v/>
      </c>
      <c r="AE147" s="25" t="str">
        <f aca="false">IF(OR(S147="",N(Z147)=0),"",IF($B147="Short",-1,1)*(S147-H147)*G147/Z147)</f>
        <v/>
      </c>
      <c r="AF147" s="25" t="str">
        <f aca="false">IF(OR(T147="",N(Z147)=0),"",IF($B147="Short",-1,1)*(T147-H147)*G147/Z147)</f>
        <v/>
      </c>
      <c r="AG147" s="21" t="str">
        <f aca="false">IF(U147&lt;&gt;"Open","",Y147*MAX(0,IF($B147="Short",-1,1)*(H147-IF(K147="",I147,K147))))</f>
        <v/>
      </c>
      <c r="AH147" s="26" t="str">
        <f aca="false">IF(U147&lt;&gt;"Closed","",DATE(YEAR(P147),MONTH(P147),1))</f>
        <v/>
      </c>
      <c r="AI147" s="19" t="str">
        <f aca="false">IF(U147&lt;&gt;"Closed","",COUNTIFS($U$7:$U$506,"Closed",$P$7:$P$506,"&lt;"&amp;P147)+COUNTIFS($U$7:U147,"Closed",$P$7:P147,P147))</f>
        <v/>
      </c>
    </row>
    <row r="148" customFormat="false" ht="15" hidden="false" customHeight="false" outlineLevel="0" collapsed="false">
      <c r="A148" s="13"/>
      <c r="B148" s="14"/>
      <c r="C148" s="14"/>
      <c r="D148" s="14"/>
      <c r="E148" s="15"/>
      <c r="F148" s="15"/>
      <c r="G148" s="16"/>
      <c r="H148" s="17"/>
      <c r="I148" s="17"/>
      <c r="J148" s="17"/>
      <c r="K148" s="17"/>
      <c r="L148" s="16"/>
      <c r="M148" s="17"/>
      <c r="N148" s="16"/>
      <c r="O148" s="17"/>
      <c r="P148" s="15"/>
      <c r="Q148" s="17"/>
      <c r="R148" s="17"/>
      <c r="S148" s="17"/>
      <c r="T148" s="17"/>
      <c r="U148" s="18" t="str">
        <f aca="false">IF(A148="","",IF(N(G148)-N(L148)-N(N148)&lt;0,"Check shares",IF(AND(P148&lt;&gt;"",Q148&lt;&gt;""),"Closed","Open")))</f>
        <v/>
      </c>
      <c r="V148" s="19" t="str">
        <f aca="false">IF(OR(F148="",P148=""),"",NETWORKDAYS(F148,P148,Lists!$F$5:$F$40)-1)</f>
        <v/>
      </c>
      <c r="W148" s="18" t="str">
        <f aca="false">IF(V148="","",IF(V148=0,"Same day","Overnight"))</f>
        <v/>
      </c>
      <c r="X148" s="18" t="str">
        <f aca="false">IF(OR(E148="",F148=""),"",IF(AND(E148&gt;=F148,OR(P148="",E148&lt;=P148)),"Yes","No"))</f>
        <v/>
      </c>
      <c r="Y148" s="20" t="str">
        <f aca="false">IF(A148="","",N(G148)-N(L148)-N(N148))</f>
        <v/>
      </c>
      <c r="Z148" s="21" t="str">
        <f aca="false">IF(OR(G148="",H148="",I148=""),"",ABS(H148-I148)*G148)</f>
        <v/>
      </c>
      <c r="AA148" s="22" t="str">
        <f aca="false">IF(OR(J148="",N(Z148)=0),"",ABS(J148-H148)/ABS(H148-I148))</f>
        <v/>
      </c>
      <c r="AB148" s="23" t="str">
        <f aca="false">IF(U148&lt;&gt;"Closed","",(N(L148)*N(M148)+N(N148)*N(O148)+Y148*Q148)/G148)</f>
        <v/>
      </c>
      <c r="AC148" s="24" t="str">
        <f aca="false">IF(U148&lt;&gt;"Closed","",IF($B148="Short",-1,1)*((N(M148)-H148)*N(L148)+(N(O148)-H148)*N(N148)+(Q148-H148)*Y148)-N(R148))</f>
        <v/>
      </c>
      <c r="AD148" s="25" t="str">
        <f aca="false">IF(OR(AC148="",N(Z148)=0),"",AC148/Z148)</f>
        <v/>
      </c>
      <c r="AE148" s="25" t="str">
        <f aca="false">IF(OR(S148="",N(Z148)=0),"",IF($B148="Short",-1,1)*(S148-H148)*G148/Z148)</f>
        <v/>
      </c>
      <c r="AF148" s="25" t="str">
        <f aca="false">IF(OR(T148="",N(Z148)=0),"",IF($B148="Short",-1,1)*(T148-H148)*G148/Z148)</f>
        <v/>
      </c>
      <c r="AG148" s="21" t="str">
        <f aca="false">IF(U148&lt;&gt;"Open","",Y148*MAX(0,IF($B148="Short",-1,1)*(H148-IF(K148="",I148,K148))))</f>
        <v/>
      </c>
      <c r="AH148" s="26" t="str">
        <f aca="false">IF(U148&lt;&gt;"Closed","",DATE(YEAR(P148),MONTH(P148),1))</f>
        <v/>
      </c>
      <c r="AI148" s="19" t="str">
        <f aca="false">IF(U148&lt;&gt;"Closed","",COUNTIFS($U$7:$U$506,"Closed",$P$7:$P$506,"&lt;"&amp;P148)+COUNTIFS($U$7:U148,"Closed",$P$7:P148,P148))</f>
        <v/>
      </c>
    </row>
    <row r="149" customFormat="false" ht="15" hidden="false" customHeight="false" outlineLevel="0" collapsed="false">
      <c r="A149" s="13"/>
      <c r="B149" s="14"/>
      <c r="C149" s="14"/>
      <c r="D149" s="14"/>
      <c r="E149" s="15"/>
      <c r="F149" s="15"/>
      <c r="G149" s="16"/>
      <c r="H149" s="17"/>
      <c r="I149" s="17"/>
      <c r="J149" s="17"/>
      <c r="K149" s="17"/>
      <c r="L149" s="16"/>
      <c r="M149" s="17"/>
      <c r="N149" s="16"/>
      <c r="O149" s="17"/>
      <c r="P149" s="15"/>
      <c r="Q149" s="17"/>
      <c r="R149" s="17"/>
      <c r="S149" s="17"/>
      <c r="T149" s="17"/>
      <c r="U149" s="18" t="str">
        <f aca="false">IF(A149="","",IF(N(G149)-N(L149)-N(N149)&lt;0,"Check shares",IF(AND(P149&lt;&gt;"",Q149&lt;&gt;""),"Closed","Open")))</f>
        <v/>
      </c>
      <c r="V149" s="19" t="str">
        <f aca="false">IF(OR(F149="",P149=""),"",NETWORKDAYS(F149,P149,Lists!$F$5:$F$40)-1)</f>
        <v/>
      </c>
      <c r="W149" s="18" t="str">
        <f aca="false">IF(V149="","",IF(V149=0,"Same day","Overnight"))</f>
        <v/>
      </c>
      <c r="X149" s="18" t="str">
        <f aca="false">IF(OR(E149="",F149=""),"",IF(AND(E149&gt;=F149,OR(P149="",E149&lt;=P149)),"Yes","No"))</f>
        <v/>
      </c>
      <c r="Y149" s="20" t="str">
        <f aca="false">IF(A149="","",N(G149)-N(L149)-N(N149))</f>
        <v/>
      </c>
      <c r="Z149" s="21" t="str">
        <f aca="false">IF(OR(G149="",H149="",I149=""),"",ABS(H149-I149)*G149)</f>
        <v/>
      </c>
      <c r="AA149" s="22" t="str">
        <f aca="false">IF(OR(J149="",N(Z149)=0),"",ABS(J149-H149)/ABS(H149-I149))</f>
        <v/>
      </c>
      <c r="AB149" s="23" t="str">
        <f aca="false">IF(U149&lt;&gt;"Closed","",(N(L149)*N(M149)+N(N149)*N(O149)+Y149*Q149)/G149)</f>
        <v/>
      </c>
      <c r="AC149" s="24" t="str">
        <f aca="false">IF(U149&lt;&gt;"Closed","",IF($B149="Short",-1,1)*((N(M149)-H149)*N(L149)+(N(O149)-H149)*N(N149)+(Q149-H149)*Y149)-N(R149))</f>
        <v/>
      </c>
      <c r="AD149" s="25" t="str">
        <f aca="false">IF(OR(AC149="",N(Z149)=0),"",AC149/Z149)</f>
        <v/>
      </c>
      <c r="AE149" s="25" t="str">
        <f aca="false">IF(OR(S149="",N(Z149)=0),"",IF($B149="Short",-1,1)*(S149-H149)*G149/Z149)</f>
        <v/>
      </c>
      <c r="AF149" s="25" t="str">
        <f aca="false">IF(OR(T149="",N(Z149)=0),"",IF($B149="Short",-1,1)*(T149-H149)*G149/Z149)</f>
        <v/>
      </c>
      <c r="AG149" s="21" t="str">
        <f aca="false">IF(U149&lt;&gt;"Open","",Y149*MAX(0,IF($B149="Short",-1,1)*(H149-IF(K149="",I149,K149))))</f>
        <v/>
      </c>
      <c r="AH149" s="26" t="str">
        <f aca="false">IF(U149&lt;&gt;"Closed","",DATE(YEAR(P149),MONTH(P149),1))</f>
        <v/>
      </c>
      <c r="AI149" s="19" t="str">
        <f aca="false">IF(U149&lt;&gt;"Closed","",COUNTIFS($U$7:$U$506,"Closed",$P$7:$P$506,"&lt;"&amp;P149)+COUNTIFS($U$7:U149,"Closed",$P$7:P149,P149))</f>
        <v/>
      </c>
    </row>
    <row r="150" customFormat="false" ht="15" hidden="false" customHeight="false" outlineLevel="0" collapsed="false">
      <c r="A150" s="13"/>
      <c r="B150" s="14"/>
      <c r="C150" s="14"/>
      <c r="D150" s="14"/>
      <c r="E150" s="15"/>
      <c r="F150" s="15"/>
      <c r="G150" s="16"/>
      <c r="H150" s="17"/>
      <c r="I150" s="17"/>
      <c r="J150" s="17"/>
      <c r="K150" s="17"/>
      <c r="L150" s="16"/>
      <c r="M150" s="17"/>
      <c r="N150" s="16"/>
      <c r="O150" s="17"/>
      <c r="P150" s="15"/>
      <c r="Q150" s="17"/>
      <c r="R150" s="17"/>
      <c r="S150" s="17"/>
      <c r="T150" s="17"/>
      <c r="U150" s="18" t="str">
        <f aca="false">IF(A150="","",IF(N(G150)-N(L150)-N(N150)&lt;0,"Check shares",IF(AND(P150&lt;&gt;"",Q150&lt;&gt;""),"Closed","Open")))</f>
        <v/>
      </c>
      <c r="V150" s="19" t="str">
        <f aca="false">IF(OR(F150="",P150=""),"",NETWORKDAYS(F150,P150,Lists!$F$5:$F$40)-1)</f>
        <v/>
      </c>
      <c r="W150" s="18" t="str">
        <f aca="false">IF(V150="","",IF(V150=0,"Same day","Overnight"))</f>
        <v/>
      </c>
      <c r="X150" s="18" t="str">
        <f aca="false">IF(OR(E150="",F150=""),"",IF(AND(E150&gt;=F150,OR(P150="",E150&lt;=P150)),"Yes","No"))</f>
        <v/>
      </c>
      <c r="Y150" s="20" t="str">
        <f aca="false">IF(A150="","",N(G150)-N(L150)-N(N150))</f>
        <v/>
      </c>
      <c r="Z150" s="21" t="str">
        <f aca="false">IF(OR(G150="",H150="",I150=""),"",ABS(H150-I150)*G150)</f>
        <v/>
      </c>
      <c r="AA150" s="22" t="str">
        <f aca="false">IF(OR(J150="",N(Z150)=0),"",ABS(J150-H150)/ABS(H150-I150))</f>
        <v/>
      </c>
      <c r="AB150" s="23" t="str">
        <f aca="false">IF(U150&lt;&gt;"Closed","",(N(L150)*N(M150)+N(N150)*N(O150)+Y150*Q150)/G150)</f>
        <v/>
      </c>
      <c r="AC150" s="24" t="str">
        <f aca="false">IF(U150&lt;&gt;"Closed","",IF($B150="Short",-1,1)*((N(M150)-H150)*N(L150)+(N(O150)-H150)*N(N150)+(Q150-H150)*Y150)-N(R150))</f>
        <v/>
      </c>
      <c r="AD150" s="25" t="str">
        <f aca="false">IF(OR(AC150="",N(Z150)=0),"",AC150/Z150)</f>
        <v/>
      </c>
      <c r="AE150" s="25" t="str">
        <f aca="false">IF(OR(S150="",N(Z150)=0),"",IF($B150="Short",-1,1)*(S150-H150)*G150/Z150)</f>
        <v/>
      </c>
      <c r="AF150" s="25" t="str">
        <f aca="false">IF(OR(T150="",N(Z150)=0),"",IF($B150="Short",-1,1)*(T150-H150)*G150/Z150)</f>
        <v/>
      </c>
      <c r="AG150" s="21" t="str">
        <f aca="false">IF(U150&lt;&gt;"Open","",Y150*MAX(0,IF($B150="Short",-1,1)*(H150-IF(K150="",I150,K150))))</f>
        <v/>
      </c>
      <c r="AH150" s="26" t="str">
        <f aca="false">IF(U150&lt;&gt;"Closed","",DATE(YEAR(P150),MONTH(P150),1))</f>
        <v/>
      </c>
      <c r="AI150" s="19" t="str">
        <f aca="false">IF(U150&lt;&gt;"Closed","",COUNTIFS($U$7:$U$506,"Closed",$P$7:$P$506,"&lt;"&amp;P150)+COUNTIFS($U$7:U150,"Closed",$P$7:P150,P150))</f>
        <v/>
      </c>
    </row>
    <row r="151" customFormat="false" ht="15" hidden="false" customHeight="false" outlineLevel="0" collapsed="false">
      <c r="A151" s="13"/>
      <c r="B151" s="14"/>
      <c r="C151" s="14"/>
      <c r="D151" s="14"/>
      <c r="E151" s="15"/>
      <c r="F151" s="15"/>
      <c r="G151" s="16"/>
      <c r="H151" s="17"/>
      <c r="I151" s="17"/>
      <c r="J151" s="17"/>
      <c r="K151" s="17"/>
      <c r="L151" s="16"/>
      <c r="M151" s="17"/>
      <c r="N151" s="16"/>
      <c r="O151" s="17"/>
      <c r="P151" s="15"/>
      <c r="Q151" s="17"/>
      <c r="R151" s="17"/>
      <c r="S151" s="17"/>
      <c r="T151" s="17"/>
      <c r="U151" s="18" t="str">
        <f aca="false">IF(A151="","",IF(N(G151)-N(L151)-N(N151)&lt;0,"Check shares",IF(AND(P151&lt;&gt;"",Q151&lt;&gt;""),"Closed","Open")))</f>
        <v/>
      </c>
      <c r="V151" s="19" t="str">
        <f aca="false">IF(OR(F151="",P151=""),"",NETWORKDAYS(F151,P151,Lists!$F$5:$F$40)-1)</f>
        <v/>
      </c>
      <c r="W151" s="18" t="str">
        <f aca="false">IF(V151="","",IF(V151=0,"Same day","Overnight"))</f>
        <v/>
      </c>
      <c r="X151" s="18" t="str">
        <f aca="false">IF(OR(E151="",F151=""),"",IF(AND(E151&gt;=F151,OR(P151="",E151&lt;=P151)),"Yes","No"))</f>
        <v/>
      </c>
      <c r="Y151" s="20" t="str">
        <f aca="false">IF(A151="","",N(G151)-N(L151)-N(N151))</f>
        <v/>
      </c>
      <c r="Z151" s="21" t="str">
        <f aca="false">IF(OR(G151="",H151="",I151=""),"",ABS(H151-I151)*G151)</f>
        <v/>
      </c>
      <c r="AA151" s="22" t="str">
        <f aca="false">IF(OR(J151="",N(Z151)=0),"",ABS(J151-H151)/ABS(H151-I151))</f>
        <v/>
      </c>
      <c r="AB151" s="23" t="str">
        <f aca="false">IF(U151&lt;&gt;"Closed","",(N(L151)*N(M151)+N(N151)*N(O151)+Y151*Q151)/G151)</f>
        <v/>
      </c>
      <c r="AC151" s="24" t="str">
        <f aca="false">IF(U151&lt;&gt;"Closed","",IF($B151="Short",-1,1)*((N(M151)-H151)*N(L151)+(N(O151)-H151)*N(N151)+(Q151-H151)*Y151)-N(R151))</f>
        <v/>
      </c>
      <c r="AD151" s="25" t="str">
        <f aca="false">IF(OR(AC151="",N(Z151)=0),"",AC151/Z151)</f>
        <v/>
      </c>
      <c r="AE151" s="25" t="str">
        <f aca="false">IF(OR(S151="",N(Z151)=0),"",IF($B151="Short",-1,1)*(S151-H151)*G151/Z151)</f>
        <v/>
      </c>
      <c r="AF151" s="25" t="str">
        <f aca="false">IF(OR(T151="",N(Z151)=0),"",IF($B151="Short",-1,1)*(T151-H151)*G151/Z151)</f>
        <v/>
      </c>
      <c r="AG151" s="21" t="str">
        <f aca="false">IF(U151&lt;&gt;"Open","",Y151*MAX(0,IF($B151="Short",-1,1)*(H151-IF(K151="",I151,K151))))</f>
        <v/>
      </c>
      <c r="AH151" s="26" t="str">
        <f aca="false">IF(U151&lt;&gt;"Closed","",DATE(YEAR(P151),MONTH(P151),1))</f>
        <v/>
      </c>
      <c r="AI151" s="19" t="str">
        <f aca="false">IF(U151&lt;&gt;"Closed","",COUNTIFS($U$7:$U$506,"Closed",$P$7:$P$506,"&lt;"&amp;P151)+COUNTIFS($U$7:U151,"Closed",$P$7:P151,P151))</f>
        <v/>
      </c>
    </row>
    <row r="152" customFormat="false" ht="15" hidden="false" customHeight="false" outlineLevel="0" collapsed="false">
      <c r="A152" s="13"/>
      <c r="B152" s="14"/>
      <c r="C152" s="14"/>
      <c r="D152" s="14"/>
      <c r="E152" s="15"/>
      <c r="F152" s="15"/>
      <c r="G152" s="16"/>
      <c r="H152" s="17"/>
      <c r="I152" s="17"/>
      <c r="J152" s="17"/>
      <c r="K152" s="17"/>
      <c r="L152" s="16"/>
      <c r="M152" s="17"/>
      <c r="N152" s="16"/>
      <c r="O152" s="17"/>
      <c r="P152" s="15"/>
      <c r="Q152" s="17"/>
      <c r="R152" s="17"/>
      <c r="S152" s="17"/>
      <c r="T152" s="17"/>
      <c r="U152" s="18" t="str">
        <f aca="false">IF(A152="","",IF(N(G152)-N(L152)-N(N152)&lt;0,"Check shares",IF(AND(P152&lt;&gt;"",Q152&lt;&gt;""),"Closed","Open")))</f>
        <v/>
      </c>
      <c r="V152" s="19" t="str">
        <f aca="false">IF(OR(F152="",P152=""),"",NETWORKDAYS(F152,P152,Lists!$F$5:$F$40)-1)</f>
        <v/>
      </c>
      <c r="W152" s="18" t="str">
        <f aca="false">IF(V152="","",IF(V152=0,"Same day","Overnight"))</f>
        <v/>
      </c>
      <c r="X152" s="18" t="str">
        <f aca="false">IF(OR(E152="",F152=""),"",IF(AND(E152&gt;=F152,OR(P152="",E152&lt;=P152)),"Yes","No"))</f>
        <v/>
      </c>
      <c r="Y152" s="20" t="str">
        <f aca="false">IF(A152="","",N(G152)-N(L152)-N(N152))</f>
        <v/>
      </c>
      <c r="Z152" s="21" t="str">
        <f aca="false">IF(OR(G152="",H152="",I152=""),"",ABS(H152-I152)*G152)</f>
        <v/>
      </c>
      <c r="AA152" s="22" t="str">
        <f aca="false">IF(OR(J152="",N(Z152)=0),"",ABS(J152-H152)/ABS(H152-I152))</f>
        <v/>
      </c>
      <c r="AB152" s="23" t="str">
        <f aca="false">IF(U152&lt;&gt;"Closed","",(N(L152)*N(M152)+N(N152)*N(O152)+Y152*Q152)/G152)</f>
        <v/>
      </c>
      <c r="AC152" s="24" t="str">
        <f aca="false">IF(U152&lt;&gt;"Closed","",IF($B152="Short",-1,1)*((N(M152)-H152)*N(L152)+(N(O152)-H152)*N(N152)+(Q152-H152)*Y152)-N(R152))</f>
        <v/>
      </c>
      <c r="AD152" s="25" t="str">
        <f aca="false">IF(OR(AC152="",N(Z152)=0),"",AC152/Z152)</f>
        <v/>
      </c>
      <c r="AE152" s="25" t="str">
        <f aca="false">IF(OR(S152="",N(Z152)=0),"",IF($B152="Short",-1,1)*(S152-H152)*G152/Z152)</f>
        <v/>
      </c>
      <c r="AF152" s="25" t="str">
        <f aca="false">IF(OR(T152="",N(Z152)=0),"",IF($B152="Short",-1,1)*(T152-H152)*G152/Z152)</f>
        <v/>
      </c>
      <c r="AG152" s="21" t="str">
        <f aca="false">IF(U152&lt;&gt;"Open","",Y152*MAX(0,IF($B152="Short",-1,1)*(H152-IF(K152="",I152,K152))))</f>
        <v/>
      </c>
      <c r="AH152" s="26" t="str">
        <f aca="false">IF(U152&lt;&gt;"Closed","",DATE(YEAR(P152),MONTH(P152),1))</f>
        <v/>
      </c>
      <c r="AI152" s="19" t="str">
        <f aca="false">IF(U152&lt;&gt;"Closed","",COUNTIFS($U$7:$U$506,"Closed",$P$7:$P$506,"&lt;"&amp;P152)+COUNTIFS($U$7:U152,"Closed",$P$7:P152,P152))</f>
        <v/>
      </c>
    </row>
    <row r="153" customFormat="false" ht="15" hidden="false" customHeight="false" outlineLevel="0" collapsed="false">
      <c r="A153" s="13"/>
      <c r="B153" s="14"/>
      <c r="C153" s="14"/>
      <c r="D153" s="14"/>
      <c r="E153" s="15"/>
      <c r="F153" s="15"/>
      <c r="G153" s="16"/>
      <c r="H153" s="17"/>
      <c r="I153" s="17"/>
      <c r="J153" s="17"/>
      <c r="K153" s="17"/>
      <c r="L153" s="16"/>
      <c r="M153" s="17"/>
      <c r="N153" s="16"/>
      <c r="O153" s="17"/>
      <c r="P153" s="15"/>
      <c r="Q153" s="17"/>
      <c r="R153" s="17"/>
      <c r="S153" s="17"/>
      <c r="T153" s="17"/>
      <c r="U153" s="18" t="str">
        <f aca="false">IF(A153="","",IF(N(G153)-N(L153)-N(N153)&lt;0,"Check shares",IF(AND(P153&lt;&gt;"",Q153&lt;&gt;""),"Closed","Open")))</f>
        <v/>
      </c>
      <c r="V153" s="19" t="str">
        <f aca="false">IF(OR(F153="",P153=""),"",NETWORKDAYS(F153,P153,Lists!$F$5:$F$40)-1)</f>
        <v/>
      </c>
      <c r="W153" s="18" t="str">
        <f aca="false">IF(V153="","",IF(V153=0,"Same day","Overnight"))</f>
        <v/>
      </c>
      <c r="X153" s="18" t="str">
        <f aca="false">IF(OR(E153="",F153=""),"",IF(AND(E153&gt;=F153,OR(P153="",E153&lt;=P153)),"Yes","No"))</f>
        <v/>
      </c>
      <c r="Y153" s="20" t="str">
        <f aca="false">IF(A153="","",N(G153)-N(L153)-N(N153))</f>
        <v/>
      </c>
      <c r="Z153" s="21" t="str">
        <f aca="false">IF(OR(G153="",H153="",I153=""),"",ABS(H153-I153)*G153)</f>
        <v/>
      </c>
      <c r="AA153" s="22" t="str">
        <f aca="false">IF(OR(J153="",N(Z153)=0),"",ABS(J153-H153)/ABS(H153-I153))</f>
        <v/>
      </c>
      <c r="AB153" s="23" t="str">
        <f aca="false">IF(U153&lt;&gt;"Closed","",(N(L153)*N(M153)+N(N153)*N(O153)+Y153*Q153)/G153)</f>
        <v/>
      </c>
      <c r="AC153" s="24" t="str">
        <f aca="false">IF(U153&lt;&gt;"Closed","",IF($B153="Short",-1,1)*((N(M153)-H153)*N(L153)+(N(O153)-H153)*N(N153)+(Q153-H153)*Y153)-N(R153))</f>
        <v/>
      </c>
      <c r="AD153" s="25" t="str">
        <f aca="false">IF(OR(AC153="",N(Z153)=0),"",AC153/Z153)</f>
        <v/>
      </c>
      <c r="AE153" s="25" t="str">
        <f aca="false">IF(OR(S153="",N(Z153)=0),"",IF($B153="Short",-1,1)*(S153-H153)*G153/Z153)</f>
        <v/>
      </c>
      <c r="AF153" s="25" t="str">
        <f aca="false">IF(OR(T153="",N(Z153)=0),"",IF($B153="Short",-1,1)*(T153-H153)*G153/Z153)</f>
        <v/>
      </c>
      <c r="AG153" s="21" t="str">
        <f aca="false">IF(U153&lt;&gt;"Open","",Y153*MAX(0,IF($B153="Short",-1,1)*(H153-IF(K153="",I153,K153))))</f>
        <v/>
      </c>
      <c r="AH153" s="26" t="str">
        <f aca="false">IF(U153&lt;&gt;"Closed","",DATE(YEAR(P153),MONTH(P153),1))</f>
        <v/>
      </c>
      <c r="AI153" s="19" t="str">
        <f aca="false">IF(U153&lt;&gt;"Closed","",COUNTIFS($U$7:$U$506,"Closed",$P$7:$P$506,"&lt;"&amp;P153)+COUNTIFS($U$7:U153,"Closed",$P$7:P153,P153))</f>
        <v/>
      </c>
    </row>
    <row r="154" customFormat="false" ht="15" hidden="false" customHeight="false" outlineLevel="0" collapsed="false">
      <c r="A154" s="13"/>
      <c r="B154" s="14"/>
      <c r="C154" s="14"/>
      <c r="D154" s="14"/>
      <c r="E154" s="15"/>
      <c r="F154" s="15"/>
      <c r="G154" s="16"/>
      <c r="H154" s="17"/>
      <c r="I154" s="17"/>
      <c r="J154" s="17"/>
      <c r="K154" s="17"/>
      <c r="L154" s="16"/>
      <c r="M154" s="17"/>
      <c r="N154" s="16"/>
      <c r="O154" s="17"/>
      <c r="P154" s="15"/>
      <c r="Q154" s="17"/>
      <c r="R154" s="17"/>
      <c r="S154" s="17"/>
      <c r="T154" s="17"/>
      <c r="U154" s="18" t="str">
        <f aca="false">IF(A154="","",IF(N(G154)-N(L154)-N(N154)&lt;0,"Check shares",IF(AND(P154&lt;&gt;"",Q154&lt;&gt;""),"Closed","Open")))</f>
        <v/>
      </c>
      <c r="V154" s="19" t="str">
        <f aca="false">IF(OR(F154="",P154=""),"",NETWORKDAYS(F154,P154,Lists!$F$5:$F$40)-1)</f>
        <v/>
      </c>
      <c r="W154" s="18" t="str">
        <f aca="false">IF(V154="","",IF(V154=0,"Same day","Overnight"))</f>
        <v/>
      </c>
      <c r="X154" s="18" t="str">
        <f aca="false">IF(OR(E154="",F154=""),"",IF(AND(E154&gt;=F154,OR(P154="",E154&lt;=P154)),"Yes","No"))</f>
        <v/>
      </c>
      <c r="Y154" s="20" t="str">
        <f aca="false">IF(A154="","",N(G154)-N(L154)-N(N154))</f>
        <v/>
      </c>
      <c r="Z154" s="21" t="str">
        <f aca="false">IF(OR(G154="",H154="",I154=""),"",ABS(H154-I154)*G154)</f>
        <v/>
      </c>
      <c r="AA154" s="22" t="str">
        <f aca="false">IF(OR(J154="",N(Z154)=0),"",ABS(J154-H154)/ABS(H154-I154))</f>
        <v/>
      </c>
      <c r="AB154" s="23" t="str">
        <f aca="false">IF(U154&lt;&gt;"Closed","",(N(L154)*N(M154)+N(N154)*N(O154)+Y154*Q154)/G154)</f>
        <v/>
      </c>
      <c r="AC154" s="24" t="str">
        <f aca="false">IF(U154&lt;&gt;"Closed","",IF($B154="Short",-1,1)*((N(M154)-H154)*N(L154)+(N(O154)-H154)*N(N154)+(Q154-H154)*Y154)-N(R154))</f>
        <v/>
      </c>
      <c r="AD154" s="25" t="str">
        <f aca="false">IF(OR(AC154="",N(Z154)=0),"",AC154/Z154)</f>
        <v/>
      </c>
      <c r="AE154" s="25" t="str">
        <f aca="false">IF(OR(S154="",N(Z154)=0),"",IF($B154="Short",-1,1)*(S154-H154)*G154/Z154)</f>
        <v/>
      </c>
      <c r="AF154" s="25" t="str">
        <f aca="false">IF(OR(T154="",N(Z154)=0),"",IF($B154="Short",-1,1)*(T154-H154)*G154/Z154)</f>
        <v/>
      </c>
      <c r="AG154" s="21" t="str">
        <f aca="false">IF(U154&lt;&gt;"Open","",Y154*MAX(0,IF($B154="Short",-1,1)*(H154-IF(K154="",I154,K154))))</f>
        <v/>
      </c>
      <c r="AH154" s="26" t="str">
        <f aca="false">IF(U154&lt;&gt;"Closed","",DATE(YEAR(P154),MONTH(P154),1))</f>
        <v/>
      </c>
      <c r="AI154" s="19" t="str">
        <f aca="false">IF(U154&lt;&gt;"Closed","",COUNTIFS($U$7:$U$506,"Closed",$P$7:$P$506,"&lt;"&amp;P154)+COUNTIFS($U$7:U154,"Closed",$P$7:P154,P154))</f>
        <v/>
      </c>
    </row>
    <row r="155" customFormat="false" ht="15" hidden="false" customHeight="false" outlineLevel="0" collapsed="false">
      <c r="A155" s="13"/>
      <c r="B155" s="14"/>
      <c r="C155" s="14"/>
      <c r="D155" s="14"/>
      <c r="E155" s="15"/>
      <c r="F155" s="15"/>
      <c r="G155" s="16"/>
      <c r="H155" s="17"/>
      <c r="I155" s="17"/>
      <c r="J155" s="17"/>
      <c r="K155" s="17"/>
      <c r="L155" s="16"/>
      <c r="M155" s="17"/>
      <c r="N155" s="16"/>
      <c r="O155" s="17"/>
      <c r="P155" s="15"/>
      <c r="Q155" s="17"/>
      <c r="R155" s="17"/>
      <c r="S155" s="17"/>
      <c r="T155" s="17"/>
      <c r="U155" s="18" t="str">
        <f aca="false">IF(A155="","",IF(N(G155)-N(L155)-N(N155)&lt;0,"Check shares",IF(AND(P155&lt;&gt;"",Q155&lt;&gt;""),"Closed","Open")))</f>
        <v/>
      </c>
      <c r="V155" s="19" t="str">
        <f aca="false">IF(OR(F155="",P155=""),"",NETWORKDAYS(F155,P155,Lists!$F$5:$F$40)-1)</f>
        <v/>
      </c>
      <c r="W155" s="18" t="str">
        <f aca="false">IF(V155="","",IF(V155=0,"Same day","Overnight"))</f>
        <v/>
      </c>
      <c r="X155" s="18" t="str">
        <f aca="false">IF(OR(E155="",F155=""),"",IF(AND(E155&gt;=F155,OR(P155="",E155&lt;=P155)),"Yes","No"))</f>
        <v/>
      </c>
      <c r="Y155" s="20" t="str">
        <f aca="false">IF(A155="","",N(G155)-N(L155)-N(N155))</f>
        <v/>
      </c>
      <c r="Z155" s="21" t="str">
        <f aca="false">IF(OR(G155="",H155="",I155=""),"",ABS(H155-I155)*G155)</f>
        <v/>
      </c>
      <c r="AA155" s="22" t="str">
        <f aca="false">IF(OR(J155="",N(Z155)=0),"",ABS(J155-H155)/ABS(H155-I155))</f>
        <v/>
      </c>
      <c r="AB155" s="23" t="str">
        <f aca="false">IF(U155&lt;&gt;"Closed","",(N(L155)*N(M155)+N(N155)*N(O155)+Y155*Q155)/G155)</f>
        <v/>
      </c>
      <c r="AC155" s="24" t="str">
        <f aca="false">IF(U155&lt;&gt;"Closed","",IF($B155="Short",-1,1)*((N(M155)-H155)*N(L155)+(N(O155)-H155)*N(N155)+(Q155-H155)*Y155)-N(R155))</f>
        <v/>
      </c>
      <c r="AD155" s="25" t="str">
        <f aca="false">IF(OR(AC155="",N(Z155)=0),"",AC155/Z155)</f>
        <v/>
      </c>
      <c r="AE155" s="25" t="str">
        <f aca="false">IF(OR(S155="",N(Z155)=0),"",IF($B155="Short",-1,1)*(S155-H155)*G155/Z155)</f>
        <v/>
      </c>
      <c r="AF155" s="25" t="str">
        <f aca="false">IF(OR(T155="",N(Z155)=0),"",IF($B155="Short",-1,1)*(T155-H155)*G155/Z155)</f>
        <v/>
      </c>
      <c r="AG155" s="21" t="str">
        <f aca="false">IF(U155&lt;&gt;"Open","",Y155*MAX(0,IF($B155="Short",-1,1)*(H155-IF(K155="",I155,K155))))</f>
        <v/>
      </c>
      <c r="AH155" s="26" t="str">
        <f aca="false">IF(U155&lt;&gt;"Closed","",DATE(YEAR(P155),MONTH(P155),1))</f>
        <v/>
      </c>
      <c r="AI155" s="19" t="str">
        <f aca="false">IF(U155&lt;&gt;"Closed","",COUNTIFS($U$7:$U$506,"Closed",$P$7:$P$506,"&lt;"&amp;P155)+COUNTIFS($U$7:U155,"Closed",$P$7:P155,P155))</f>
        <v/>
      </c>
    </row>
    <row r="156" customFormat="false" ht="15" hidden="false" customHeight="false" outlineLevel="0" collapsed="false">
      <c r="A156" s="13"/>
      <c r="B156" s="14"/>
      <c r="C156" s="14"/>
      <c r="D156" s="14"/>
      <c r="E156" s="15"/>
      <c r="F156" s="15"/>
      <c r="G156" s="16"/>
      <c r="H156" s="17"/>
      <c r="I156" s="17"/>
      <c r="J156" s="17"/>
      <c r="K156" s="17"/>
      <c r="L156" s="16"/>
      <c r="M156" s="17"/>
      <c r="N156" s="16"/>
      <c r="O156" s="17"/>
      <c r="P156" s="15"/>
      <c r="Q156" s="17"/>
      <c r="R156" s="17"/>
      <c r="S156" s="17"/>
      <c r="T156" s="17"/>
      <c r="U156" s="18" t="str">
        <f aca="false">IF(A156="","",IF(N(G156)-N(L156)-N(N156)&lt;0,"Check shares",IF(AND(P156&lt;&gt;"",Q156&lt;&gt;""),"Closed","Open")))</f>
        <v/>
      </c>
      <c r="V156" s="19" t="str">
        <f aca="false">IF(OR(F156="",P156=""),"",NETWORKDAYS(F156,P156,Lists!$F$5:$F$40)-1)</f>
        <v/>
      </c>
      <c r="W156" s="18" t="str">
        <f aca="false">IF(V156="","",IF(V156=0,"Same day","Overnight"))</f>
        <v/>
      </c>
      <c r="X156" s="18" t="str">
        <f aca="false">IF(OR(E156="",F156=""),"",IF(AND(E156&gt;=F156,OR(P156="",E156&lt;=P156)),"Yes","No"))</f>
        <v/>
      </c>
      <c r="Y156" s="20" t="str">
        <f aca="false">IF(A156="","",N(G156)-N(L156)-N(N156))</f>
        <v/>
      </c>
      <c r="Z156" s="21" t="str">
        <f aca="false">IF(OR(G156="",H156="",I156=""),"",ABS(H156-I156)*G156)</f>
        <v/>
      </c>
      <c r="AA156" s="22" t="str">
        <f aca="false">IF(OR(J156="",N(Z156)=0),"",ABS(J156-H156)/ABS(H156-I156))</f>
        <v/>
      </c>
      <c r="AB156" s="23" t="str">
        <f aca="false">IF(U156&lt;&gt;"Closed","",(N(L156)*N(M156)+N(N156)*N(O156)+Y156*Q156)/G156)</f>
        <v/>
      </c>
      <c r="AC156" s="24" t="str">
        <f aca="false">IF(U156&lt;&gt;"Closed","",IF($B156="Short",-1,1)*((N(M156)-H156)*N(L156)+(N(O156)-H156)*N(N156)+(Q156-H156)*Y156)-N(R156))</f>
        <v/>
      </c>
      <c r="AD156" s="25" t="str">
        <f aca="false">IF(OR(AC156="",N(Z156)=0),"",AC156/Z156)</f>
        <v/>
      </c>
      <c r="AE156" s="25" t="str">
        <f aca="false">IF(OR(S156="",N(Z156)=0),"",IF($B156="Short",-1,1)*(S156-H156)*G156/Z156)</f>
        <v/>
      </c>
      <c r="AF156" s="25" t="str">
        <f aca="false">IF(OR(T156="",N(Z156)=0),"",IF($B156="Short",-1,1)*(T156-H156)*G156/Z156)</f>
        <v/>
      </c>
      <c r="AG156" s="21" t="str">
        <f aca="false">IF(U156&lt;&gt;"Open","",Y156*MAX(0,IF($B156="Short",-1,1)*(H156-IF(K156="",I156,K156))))</f>
        <v/>
      </c>
      <c r="AH156" s="26" t="str">
        <f aca="false">IF(U156&lt;&gt;"Closed","",DATE(YEAR(P156),MONTH(P156),1))</f>
        <v/>
      </c>
      <c r="AI156" s="19" t="str">
        <f aca="false">IF(U156&lt;&gt;"Closed","",COUNTIFS($U$7:$U$506,"Closed",$P$7:$P$506,"&lt;"&amp;P156)+COUNTIFS($U$7:U156,"Closed",$P$7:P156,P156))</f>
        <v/>
      </c>
    </row>
    <row r="157" customFormat="false" ht="15" hidden="false" customHeight="false" outlineLevel="0" collapsed="false">
      <c r="A157" s="13"/>
      <c r="B157" s="14"/>
      <c r="C157" s="14"/>
      <c r="D157" s="14"/>
      <c r="E157" s="15"/>
      <c r="F157" s="15"/>
      <c r="G157" s="16"/>
      <c r="H157" s="17"/>
      <c r="I157" s="17"/>
      <c r="J157" s="17"/>
      <c r="K157" s="17"/>
      <c r="L157" s="16"/>
      <c r="M157" s="17"/>
      <c r="N157" s="16"/>
      <c r="O157" s="17"/>
      <c r="P157" s="15"/>
      <c r="Q157" s="17"/>
      <c r="R157" s="17"/>
      <c r="S157" s="17"/>
      <c r="T157" s="17"/>
      <c r="U157" s="18" t="str">
        <f aca="false">IF(A157="","",IF(N(G157)-N(L157)-N(N157)&lt;0,"Check shares",IF(AND(P157&lt;&gt;"",Q157&lt;&gt;""),"Closed","Open")))</f>
        <v/>
      </c>
      <c r="V157" s="19" t="str">
        <f aca="false">IF(OR(F157="",P157=""),"",NETWORKDAYS(F157,P157,Lists!$F$5:$F$40)-1)</f>
        <v/>
      </c>
      <c r="W157" s="18" t="str">
        <f aca="false">IF(V157="","",IF(V157=0,"Same day","Overnight"))</f>
        <v/>
      </c>
      <c r="X157" s="18" t="str">
        <f aca="false">IF(OR(E157="",F157=""),"",IF(AND(E157&gt;=F157,OR(P157="",E157&lt;=P157)),"Yes","No"))</f>
        <v/>
      </c>
      <c r="Y157" s="20" t="str">
        <f aca="false">IF(A157="","",N(G157)-N(L157)-N(N157))</f>
        <v/>
      </c>
      <c r="Z157" s="21" t="str">
        <f aca="false">IF(OR(G157="",H157="",I157=""),"",ABS(H157-I157)*G157)</f>
        <v/>
      </c>
      <c r="AA157" s="22" t="str">
        <f aca="false">IF(OR(J157="",N(Z157)=0),"",ABS(J157-H157)/ABS(H157-I157))</f>
        <v/>
      </c>
      <c r="AB157" s="23" t="str">
        <f aca="false">IF(U157&lt;&gt;"Closed","",(N(L157)*N(M157)+N(N157)*N(O157)+Y157*Q157)/G157)</f>
        <v/>
      </c>
      <c r="AC157" s="24" t="str">
        <f aca="false">IF(U157&lt;&gt;"Closed","",IF($B157="Short",-1,1)*((N(M157)-H157)*N(L157)+(N(O157)-H157)*N(N157)+(Q157-H157)*Y157)-N(R157))</f>
        <v/>
      </c>
      <c r="AD157" s="25" t="str">
        <f aca="false">IF(OR(AC157="",N(Z157)=0),"",AC157/Z157)</f>
        <v/>
      </c>
      <c r="AE157" s="25" t="str">
        <f aca="false">IF(OR(S157="",N(Z157)=0),"",IF($B157="Short",-1,1)*(S157-H157)*G157/Z157)</f>
        <v/>
      </c>
      <c r="AF157" s="25" t="str">
        <f aca="false">IF(OR(T157="",N(Z157)=0),"",IF($B157="Short",-1,1)*(T157-H157)*G157/Z157)</f>
        <v/>
      </c>
      <c r="AG157" s="21" t="str">
        <f aca="false">IF(U157&lt;&gt;"Open","",Y157*MAX(0,IF($B157="Short",-1,1)*(H157-IF(K157="",I157,K157))))</f>
        <v/>
      </c>
      <c r="AH157" s="26" t="str">
        <f aca="false">IF(U157&lt;&gt;"Closed","",DATE(YEAR(P157),MONTH(P157),1))</f>
        <v/>
      </c>
      <c r="AI157" s="19" t="str">
        <f aca="false">IF(U157&lt;&gt;"Closed","",COUNTIFS($U$7:$U$506,"Closed",$P$7:$P$506,"&lt;"&amp;P157)+COUNTIFS($U$7:U157,"Closed",$P$7:P157,P157))</f>
        <v/>
      </c>
    </row>
    <row r="158" customFormat="false" ht="15" hidden="false" customHeight="false" outlineLevel="0" collapsed="false">
      <c r="A158" s="13"/>
      <c r="B158" s="14"/>
      <c r="C158" s="14"/>
      <c r="D158" s="14"/>
      <c r="E158" s="15"/>
      <c r="F158" s="15"/>
      <c r="G158" s="16"/>
      <c r="H158" s="17"/>
      <c r="I158" s="17"/>
      <c r="J158" s="17"/>
      <c r="K158" s="17"/>
      <c r="L158" s="16"/>
      <c r="M158" s="17"/>
      <c r="N158" s="16"/>
      <c r="O158" s="17"/>
      <c r="P158" s="15"/>
      <c r="Q158" s="17"/>
      <c r="R158" s="17"/>
      <c r="S158" s="17"/>
      <c r="T158" s="17"/>
      <c r="U158" s="18" t="str">
        <f aca="false">IF(A158="","",IF(N(G158)-N(L158)-N(N158)&lt;0,"Check shares",IF(AND(P158&lt;&gt;"",Q158&lt;&gt;""),"Closed","Open")))</f>
        <v/>
      </c>
      <c r="V158" s="19" t="str">
        <f aca="false">IF(OR(F158="",P158=""),"",NETWORKDAYS(F158,P158,Lists!$F$5:$F$40)-1)</f>
        <v/>
      </c>
      <c r="W158" s="18" t="str">
        <f aca="false">IF(V158="","",IF(V158=0,"Same day","Overnight"))</f>
        <v/>
      </c>
      <c r="X158" s="18" t="str">
        <f aca="false">IF(OR(E158="",F158=""),"",IF(AND(E158&gt;=F158,OR(P158="",E158&lt;=P158)),"Yes","No"))</f>
        <v/>
      </c>
      <c r="Y158" s="20" t="str">
        <f aca="false">IF(A158="","",N(G158)-N(L158)-N(N158))</f>
        <v/>
      </c>
      <c r="Z158" s="21" t="str">
        <f aca="false">IF(OR(G158="",H158="",I158=""),"",ABS(H158-I158)*G158)</f>
        <v/>
      </c>
      <c r="AA158" s="22" t="str">
        <f aca="false">IF(OR(J158="",N(Z158)=0),"",ABS(J158-H158)/ABS(H158-I158))</f>
        <v/>
      </c>
      <c r="AB158" s="23" t="str">
        <f aca="false">IF(U158&lt;&gt;"Closed","",(N(L158)*N(M158)+N(N158)*N(O158)+Y158*Q158)/G158)</f>
        <v/>
      </c>
      <c r="AC158" s="24" t="str">
        <f aca="false">IF(U158&lt;&gt;"Closed","",IF($B158="Short",-1,1)*((N(M158)-H158)*N(L158)+(N(O158)-H158)*N(N158)+(Q158-H158)*Y158)-N(R158))</f>
        <v/>
      </c>
      <c r="AD158" s="25" t="str">
        <f aca="false">IF(OR(AC158="",N(Z158)=0),"",AC158/Z158)</f>
        <v/>
      </c>
      <c r="AE158" s="25" t="str">
        <f aca="false">IF(OR(S158="",N(Z158)=0),"",IF($B158="Short",-1,1)*(S158-H158)*G158/Z158)</f>
        <v/>
      </c>
      <c r="AF158" s="25" t="str">
        <f aca="false">IF(OR(T158="",N(Z158)=0),"",IF($B158="Short",-1,1)*(T158-H158)*G158/Z158)</f>
        <v/>
      </c>
      <c r="AG158" s="21" t="str">
        <f aca="false">IF(U158&lt;&gt;"Open","",Y158*MAX(0,IF($B158="Short",-1,1)*(H158-IF(K158="",I158,K158))))</f>
        <v/>
      </c>
      <c r="AH158" s="26" t="str">
        <f aca="false">IF(U158&lt;&gt;"Closed","",DATE(YEAR(P158),MONTH(P158),1))</f>
        <v/>
      </c>
      <c r="AI158" s="19" t="str">
        <f aca="false">IF(U158&lt;&gt;"Closed","",COUNTIFS($U$7:$U$506,"Closed",$P$7:$P$506,"&lt;"&amp;P158)+COUNTIFS($U$7:U158,"Closed",$P$7:P158,P158))</f>
        <v/>
      </c>
    </row>
    <row r="159" customFormat="false" ht="15" hidden="false" customHeight="false" outlineLevel="0" collapsed="false">
      <c r="A159" s="13"/>
      <c r="B159" s="14"/>
      <c r="C159" s="14"/>
      <c r="D159" s="14"/>
      <c r="E159" s="15"/>
      <c r="F159" s="15"/>
      <c r="G159" s="16"/>
      <c r="H159" s="17"/>
      <c r="I159" s="17"/>
      <c r="J159" s="17"/>
      <c r="K159" s="17"/>
      <c r="L159" s="16"/>
      <c r="M159" s="17"/>
      <c r="N159" s="16"/>
      <c r="O159" s="17"/>
      <c r="P159" s="15"/>
      <c r="Q159" s="17"/>
      <c r="R159" s="17"/>
      <c r="S159" s="17"/>
      <c r="T159" s="17"/>
      <c r="U159" s="18" t="str">
        <f aca="false">IF(A159="","",IF(N(G159)-N(L159)-N(N159)&lt;0,"Check shares",IF(AND(P159&lt;&gt;"",Q159&lt;&gt;""),"Closed","Open")))</f>
        <v/>
      </c>
      <c r="V159" s="19" t="str">
        <f aca="false">IF(OR(F159="",P159=""),"",NETWORKDAYS(F159,P159,Lists!$F$5:$F$40)-1)</f>
        <v/>
      </c>
      <c r="W159" s="18" t="str">
        <f aca="false">IF(V159="","",IF(V159=0,"Same day","Overnight"))</f>
        <v/>
      </c>
      <c r="X159" s="18" t="str">
        <f aca="false">IF(OR(E159="",F159=""),"",IF(AND(E159&gt;=F159,OR(P159="",E159&lt;=P159)),"Yes","No"))</f>
        <v/>
      </c>
      <c r="Y159" s="20" t="str">
        <f aca="false">IF(A159="","",N(G159)-N(L159)-N(N159))</f>
        <v/>
      </c>
      <c r="Z159" s="21" t="str">
        <f aca="false">IF(OR(G159="",H159="",I159=""),"",ABS(H159-I159)*G159)</f>
        <v/>
      </c>
      <c r="AA159" s="22" t="str">
        <f aca="false">IF(OR(J159="",N(Z159)=0),"",ABS(J159-H159)/ABS(H159-I159))</f>
        <v/>
      </c>
      <c r="AB159" s="23" t="str">
        <f aca="false">IF(U159&lt;&gt;"Closed","",(N(L159)*N(M159)+N(N159)*N(O159)+Y159*Q159)/G159)</f>
        <v/>
      </c>
      <c r="AC159" s="24" t="str">
        <f aca="false">IF(U159&lt;&gt;"Closed","",IF($B159="Short",-1,1)*((N(M159)-H159)*N(L159)+(N(O159)-H159)*N(N159)+(Q159-H159)*Y159)-N(R159))</f>
        <v/>
      </c>
      <c r="AD159" s="25" t="str">
        <f aca="false">IF(OR(AC159="",N(Z159)=0),"",AC159/Z159)</f>
        <v/>
      </c>
      <c r="AE159" s="25" t="str">
        <f aca="false">IF(OR(S159="",N(Z159)=0),"",IF($B159="Short",-1,1)*(S159-H159)*G159/Z159)</f>
        <v/>
      </c>
      <c r="AF159" s="25" t="str">
        <f aca="false">IF(OR(T159="",N(Z159)=0),"",IF($B159="Short",-1,1)*(T159-H159)*G159/Z159)</f>
        <v/>
      </c>
      <c r="AG159" s="21" t="str">
        <f aca="false">IF(U159&lt;&gt;"Open","",Y159*MAX(0,IF($B159="Short",-1,1)*(H159-IF(K159="",I159,K159))))</f>
        <v/>
      </c>
      <c r="AH159" s="26" t="str">
        <f aca="false">IF(U159&lt;&gt;"Closed","",DATE(YEAR(P159),MONTH(P159),1))</f>
        <v/>
      </c>
      <c r="AI159" s="19" t="str">
        <f aca="false">IF(U159&lt;&gt;"Closed","",COUNTIFS($U$7:$U$506,"Closed",$P$7:$P$506,"&lt;"&amp;P159)+COUNTIFS($U$7:U159,"Closed",$P$7:P159,P159))</f>
        <v/>
      </c>
    </row>
    <row r="160" customFormat="false" ht="15" hidden="false" customHeight="false" outlineLevel="0" collapsed="false">
      <c r="A160" s="13"/>
      <c r="B160" s="14"/>
      <c r="C160" s="14"/>
      <c r="D160" s="14"/>
      <c r="E160" s="15"/>
      <c r="F160" s="15"/>
      <c r="G160" s="16"/>
      <c r="H160" s="17"/>
      <c r="I160" s="17"/>
      <c r="J160" s="17"/>
      <c r="K160" s="17"/>
      <c r="L160" s="16"/>
      <c r="M160" s="17"/>
      <c r="N160" s="16"/>
      <c r="O160" s="17"/>
      <c r="P160" s="15"/>
      <c r="Q160" s="17"/>
      <c r="R160" s="17"/>
      <c r="S160" s="17"/>
      <c r="T160" s="17"/>
      <c r="U160" s="18" t="str">
        <f aca="false">IF(A160="","",IF(N(G160)-N(L160)-N(N160)&lt;0,"Check shares",IF(AND(P160&lt;&gt;"",Q160&lt;&gt;""),"Closed","Open")))</f>
        <v/>
      </c>
      <c r="V160" s="19" t="str">
        <f aca="false">IF(OR(F160="",P160=""),"",NETWORKDAYS(F160,P160,Lists!$F$5:$F$40)-1)</f>
        <v/>
      </c>
      <c r="W160" s="18" t="str">
        <f aca="false">IF(V160="","",IF(V160=0,"Same day","Overnight"))</f>
        <v/>
      </c>
      <c r="X160" s="18" t="str">
        <f aca="false">IF(OR(E160="",F160=""),"",IF(AND(E160&gt;=F160,OR(P160="",E160&lt;=P160)),"Yes","No"))</f>
        <v/>
      </c>
      <c r="Y160" s="20" t="str">
        <f aca="false">IF(A160="","",N(G160)-N(L160)-N(N160))</f>
        <v/>
      </c>
      <c r="Z160" s="21" t="str">
        <f aca="false">IF(OR(G160="",H160="",I160=""),"",ABS(H160-I160)*G160)</f>
        <v/>
      </c>
      <c r="AA160" s="22" t="str">
        <f aca="false">IF(OR(J160="",N(Z160)=0),"",ABS(J160-H160)/ABS(H160-I160))</f>
        <v/>
      </c>
      <c r="AB160" s="23" t="str">
        <f aca="false">IF(U160&lt;&gt;"Closed","",(N(L160)*N(M160)+N(N160)*N(O160)+Y160*Q160)/G160)</f>
        <v/>
      </c>
      <c r="AC160" s="24" t="str">
        <f aca="false">IF(U160&lt;&gt;"Closed","",IF($B160="Short",-1,1)*((N(M160)-H160)*N(L160)+(N(O160)-H160)*N(N160)+(Q160-H160)*Y160)-N(R160))</f>
        <v/>
      </c>
      <c r="AD160" s="25" t="str">
        <f aca="false">IF(OR(AC160="",N(Z160)=0),"",AC160/Z160)</f>
        <v/>
      </c>
      <c r="AE160" s="25" t="str">
        <f aca="false">IF(OR(S160="",N(Z160)=0),"",IF($B160="Short",-1,1)*(S160-H160)*G160/Z160)</f>
        <v/>
      </c>
      <c r="AF160" s="25" t="str">
        <f aca="false">IF(OR(T160="",N(Z160)=0),"",IF($B160="Short",-1,1)*(T160-H160)*G160/Z160)</f>
        <v/>
      </c>
      <c r="AG160" s="21" t="str">
        <f aca="false">IF(U160&lt;&gt;"Open","",Y160*MAX(0,IF($B160="Short",-1,1)*(H160-IF(K160="",I160,K160))))</f>
        <v/>
      </c>
      <c r="AH160" s="26" t="str">
        <f aca="false">IF(U160&lt;&gt;"Closed","",DATE(YEAR(P160),MONTH(P160),1))</f>
        <v/>
      </c>
      <c r="AI160" s="19" t="str">
        <f aca="false">IF(U160&lt;&gt;"Closed","",COUNTIFS($U$7:$U$506,"Closed",$P$7:$P$506,"&lt;"&amp;P160)+COUNTIFS($U$7:U160,"Closed",$P$7:P160,P160))</f>
        <v/>
      </c>
    </row>
    <row r="161" customFormat="false" ht="15" hidden="false" customHeight="false" outlineLevel="0" collapsed="false">
      <c r="A161" s="13"/>
      <c r="B161" s="14"/>
      <c r="C161" s="14"/>
      <c r="D161" s="14"/>
      <c r="E161" s="15"/>
      <c r="F161" s="15"/>
      <c r="G161" s="16"/>
      <c r="H161" s="17"/>
      <c r="I161" s="17"/>
      <c r="J161" s="17"/>
      <c r="K161" s="17"/>
      <c r="L161" s="16"/>
      <c r="M161" s="17"/>
      <c r="N161" s="16"/>
      <c r="O161" s="17"/>
      <c r="P161" s="15"/>
      <c r="Q161" s="17"/>
      <c r="R161" s="17"/>
      <c r="S161" s="17"/>
      <c r="T161" s="17"/>
      <c r="U161" s="18" t="str">
        <f aca="false">IF(A161="","",IF(N(G161)-N(L161)-N(N161)&lt;0,"Check shares",IF(AND(P161&lt;&gt;"",Q161&lt;&gt;""),"Closed","Open")))</f>
        <v/>
      </c>
      <c r="V161" s="19" t="str">
        <f aca="false">IF(OR(F161="",P161=""),"",NETWORKDAYS(F161,P161,Lists!$F$5:$F$40)-1)</f>
        <v/>
      </c>
      <c r="W161" s="18" t="str">
        <f aca="false">IF(V161="","",IF(V161=0,"Same day","Overnight"))</f>
        <v/>
      </c>
      <c r="X161" s="18" t="str">
        <f aca="false">IF(OR(E161="",F161=""),"",IF(AND(E161&gt;=F161,OR(P161="",E161&lt;=P161)),"Yes","No"))</f>
        <v/>
      </c>
      <c r="Y161" s="20" t="str">
        <f aca="false">IF(A161="","",N(G161)-N(L161)-N(N161))</f>
        <v/>
      </c>
      <c r="Z161" s="21" t="str">
        <f aca="false">IF(OR(G161="",H161="",I161=""),"",ABS(H161-I161)*G161)</f>
        <v/>
      </c>
      <c r="AA161" s="22" t="str">
        <f aca="false">IF(OR(J161="",N(Z161)=0),"",ABS(J161-H161)/ABS(H161-I161))</f>
        <v/>
      </c>
      <c r="AB161" s="23" t="str">
        <f aca="false">IF(U161&lt;&gt;"Closed","",(N(L161)*N(M161)+N(N161)*N(O161)+Y161*Q161)/G161)</f>
        <v/>
      </c>
      <c r="AC161" s="24" t="str">
        <f aca="false">IF(U161&lt;&gt;"Closed","",IF($B161="Short",-1,1)*((N(M161)-H161)*N(L161)+(N(O161)-H161)*N(N161)+(Q161-H161)*Y161)-N(R161))</f>
        <v/>
      </c>
      <c r="AD161" s="25" t="str">
        <f aca="false">IF(OR(AC161="",N(Z161)=0),"",AC161/Z161)</f>
        <v/>
      </c>
      <c r="AE161" s="25" t="str">
        <f aca="false">IF(OR(S161="",N(Z161)=0),"",IF($B161="Short",-1,1)*(S161-H161)*G161/Z161)</f>
        <v/>
      </c>
      <c r="AF161" s="25" t="str">
        <f aca="false">IF(OR(T161="",N(Z161)=0),"",IF($B161="Short",-1,1)*(T161-H161)*G161/Z161)</f>
        <v/>
      </c>
      <c r="AG161" s="21" t="str">
        <f aca="false">IF(U161&lt;&gt;"Open","",Y161*MAX(0,IF($B161="Short",-1,1)*(H161-IF(K161="",I161,K161))))</f>
        <v/>
      </c>
      <c r="AH161" s="26" t="str">
        <f aca="false">IF(U161&lt;&gt;"Closed","",DATE(YEAR(P161),MONTH(P161),1))</f>
        <v/>
      </c>
      <c r="AI161" s="19" t="str">
        <f aca="false">IF(U161&lt;&gt;"Closed","",COUNTIFS($U$7:$U$506,"Closed",$P$7:$P$506,"&lt;"&amp;P161)+COUNTIFS($U$7:U161,"Closed",$P$7:P161,P161))</f>
        <v/>
      </c>
    </row>
    <row r="162" customFormat="false" ht="15" hidden="false" customHeight="false" outlineLevel="0" collapsed="false">
      <c r="A162" s="13"/>
      <c r="B162" s="14"/>
      <c r="C162" s="14"/>
      <c r="D162" s="14"/>
      <c r="E162" s="15"/>
      <c r="F162" s="15"/>
      <c r="G162" s="16"/>
      <c r="H162" s="17"/>
      <c r="I162" s="17"/>
      <c r="J162" s="17"/>
      <c r="K162" s="17"/>
      <c r="L162" s="16"/>
      <c r="M162" s="17"/>
      <c r="N162" s="16"/>
      <c r="O162" s="17"/>
      <c r="P162" s="15"/>
      <c r="Q162" s="17"/>
      <c r="R162" s="17"/>
      <c r="S162" s="17"/>
      <c r="T162" s="17"/>
      <c r="U162" s="18" t="str">
        <f aca="false">IF(A162="","",IF(N(G162)-N(L162)-N(N162)&lt;0,"Check shares",IF(AND(P162&lt;&gt;"",Q162&lt;&gt;""),"Closed","Open")))</f>
        <v/>
      </c>
      <c r="V162" s="19" t="str">
        <f aca="false">IF(OR(F162="",P162=""),"",NETWORKDAYS(F162,P162,Lists!$F$5:$F$40)-1)</f>
        <v/>
      </c>
      <c r="W162" s="18" t="str">
        <f aca="false">IF(V162="","",IF(V162=0,"Same day","Overnight"))</f>
        <v/>
      </c>
      <c r="X162" s="18" t="str">
        <f aca="false">IF(OR(E162="",F162=""),"",IF(AND(E162&gt;=F162,OR(P162="",E162&lt;=P162)),"Yes","No"))</f>
        <v/>
      </c>
      <c r="Y162" s="20" t="str">
        <f aca="false">IF(A162="","",N(G162)-N(L162)-N(N162))</f>
        <v/>
      </c>
      <c r="Z162" s="21" t="str">
        <f aca="false">IF(OR(G162="",H162="",I162=""),"",ABS(H162-I162)*G162)</f>
        <v/>
      </c>
      <c r="AA162" s="22" t="str">
        <f aca="false">IF(OR(J162="",N(Z162)=0),"",ABS(J162-H162)/ABS(H162-I162))</f>
        <v/>
      </c>
      <c r="AB162" s="23" t="str">
        <f aca="false">IF(U162&lt;&gt;"Closed","",(N(L162)*N(M162)+N(N162)*N(O162)+Y162*Q162)/G162)</f>
        <v/>
      </c>
      <c r="AC162" s="24" t="str">
        <f aca="false">IF(U162&lt;&gt;"Closed","",IF($B162="Short",-1,1)*((N(M162)-H162)*N(L162)+(N(O162)-H162)*N(N162)+(Q162-H162)*Y162)-N(R162))</f>
        <v/>
      </c>
      <c r="AD162" s="25" t="str">
        <f aca="false">IF(OR(AC162="",N(Z162)=0),"",AC162/Z162)</f>
        <v/>
      </c>
      <c r="AE162" s="25" t="str">
        <f aca="false">IF(OR(S162="",N(Z162)=0),"",IF($B162="Short",-1,1)*(S162-H162)*G162/Z162)</f>
        <v/>
      </c>
      <c r="AF162" s="25" t="str">
        <f aca="false">IF(OR(T162="",N(Z162)=0),"",IF($B162="Short",-1,1)*(T162-H162)*G162/Z162)</f>
        <v/>
      </c>
      <c r="AG162" s="21" t="str">
        <f aca="false">IF(U162&lt;&gt;"Open","",Y162*MAX(0,IF($B162="Short",-1,1)*(H162-IF(K162="",I162,K162))))</f>
        <v/>
      </c>
      <c r="AH162" s="26" t="str">
        <f aca="false">IF(U162&lt;&gt;"Closed","",DATE(YEAR(P162),MONTH(P162),1))</f>
        <v/>
      </c>
      <c r="AI162" s="19" t="str">
        <f aca="false">IF(U162&lt;&gt;"Closed","",COUNTIFS($U$7:$U$506,"Closed",$P$7:$P$506,"&lt;"&amp;P162)+COUNTIFS($U$7:U162,"Closed",$P$7:P162,P162))</f>
        <v/>
      </c>
    </row>
    <row r="163" customFormat="false" ht="15" hidden="false" customHeight="false" outlineLevel="0" collapsed="false">
      <c r="A163" s="13"/>
      <c r="B163" s="14"/>
      <c r="C163" s="14"/>
      <c r="D163" s="14"/>
      <c r="E163" s="15"/>
      <c r="F163" s="15"/>
      <c r="G163" s="16"/>
      <c r="H163" s="17"/>
      <c r="I163" s="17"/>
      <c r="J163" s="17"/>
      <c r="K163" s="17"/>
      <c r="L163" s="16"/>
      <c r="M163" s="17"/>
      <c r="N163" s="16"/>
      <c r="O163" s="17"/>
      <c r="P163" s="15"/>
      <c r="Q163" s="17"/>
      <c r="R163" s="17"/>
      <c r="S163" s="17"/>
      <c r="T163" s="17"/>
      <c r="U163" s="18" t="str">
        <f aca="false">IF(A163="","",IF(N(G163)-N(L163)-N(N163)&lt;0,"Check shares",IF(AND(P163&lt;&gt;"",Q163&lt;&gt;""),"Closed","Open")))</f>
        <v/>
      </c>
      <c r="V163" s="19" t="str">
        <f aca="false">IF(OR(F163="",P163=""),"",NETWORKDAYS(F163,P163,Lists!$F$5:$F$40)-1)</f>
        <v/>
      </c>
      <c r="W163" s="18" t="str">
        <f aca="false">IF(V163="","",IF(V163=0,"Same day","Overnight"))</f>
        <v/>
      </c>
      <c r="X163" s="18" t="str">
        <f aca="false">IF(OR(E163="",F163=""),"",IF(AND(E163&gt;=F163,OR(P163="",E163&lt;=P163)),"Yes","No"))</f>
        <v/>
      </c>
      <c r="Y163" s="20" t="str">
        <f aca="false">IF(A163="","",N(G163)-N(L163)-N(N163))</f>
        <v/>
      </c>
      <c r="Z163" s="21" t="str">
        <f aca="false">IF(OR(G163="",H163="",I163=""),"",ABS(H163-I163)*G163)</f>
        <v/>
      </c>
      <c r="AA163" s="22" t="str">
        <f aca="false">IF(OR(J163="",N(Z163)=0),"",ABS(J163-H163)/ABS(H163-I163))</f>
        <v/>
      </c>
      <c r="AB163" s="23" t="str">
        <f aca="false">IF(U163&lt;&gt;"Closed","",(N(L163)*N(M163)+N(N163)*N(O163)+Y163*Q163)/G163)</f>
        <v/>
      </c>
      <c r="AC163" s="24" t="str">
        <f aca="false">IF(U163&lt;&gt;"Closed","",IF($B163="Short",-1,1)*((N(M163)-H163)*N(L163)+(N(O163)-H163)*N(N163)+(Q163-H163)*Y163)-N(R163))</f>
        <v/>
      </c>
      <c r="AD163" s="25" t="str">
        <f aca="false">IF(OR(AC163="",N(Z163)=0),"",AC163/Z163)</f>
        <v/>
      </c>
      <c r="AE163" s="25" t="str">
        <f aca="false">IF(OR(S163="",N(Z163)=0),"",IF($B163="Short",-1,1)*(S163-H163)*G163/Z163)</f>
        <v/>
      </c>
      <c r="AF163" s="25" t="str">
        <f aca="false">IF(OR(T163="",N(Z163)=0),"",IF($B163="Short",-1,1)*(T163-H163)*G163/Z163)</f>
        <v/>
      </c>
      <c r="AG163" s="21" t="str">
        <f aca="false">IF(U163&lt;&gt;"Open","",Y163*MAX(0,IF($B163="Short",-1,1)*(H163-IF(K163="",I163,K163))))</f>
        <v/>
      </c>
      <c r="AH163" s="26" t="str">
        <f aca="false">IF(U163&lt;&gt;"Closed","",DATE(YEAR(P163),MONTH(P163),1))</f>
        <v/>
      </c>
      <c r="AI163" s="19" t="str">
        <f aca="false">IF(U163&lt;&gt;"Closed","",COUNTIFS($U$7:$U$506,"Closed",$P$7:$P$506,"&lt;"&amp;P163)+COUNTIFS($U$7:U163,"Closed",$P$7:P163,P163))</f>
        <v/>
      </c>
    </row>
    <row r="164" customFormat="false" ht="15" hidden="false" customHeight="false" outlineLevel="0" collapsed="false">
      <c r="A164" s="13"/>
      <c r="B164" s="14"/>
      <c r="C164" s="14"/>
      <c r="D164" s="14"/>
      <c r="E164" s="15"/>
      <c r="F164" s="15"/>
      <c r="G164" s="16"/>
      <c r="H164" s="17"/>
      <c r="I164" s="17"/>
      <c r="J164" s="17"/>
      <c r="K164" s="17"/>
      <c r="L164" s="16"/>
      <c r="M164" s="17"/>
      <c r="N164" s="16"/>
      <c r="O164" s="17"/>
      <c r="P164" s="15"/>
      <c r="Q164" s="17"/>
      <c r="R164" s="17"/>
      <c r="S164" s="17"/>
      <c r="T164" s="17"/>
      <c r="U164" s="18" t="str">
        <f aca="false">IF(A164="","",IF(N(G164)-N(L164)-N(N164)&lt;0,"Check shares",IF(AND(P164&lt;&gt;"",Q164&lt;&gt;""),"Closed","Open")))</f>
        <v/>
      </c>
      <c r="V164" s="19" t="str">
        <f aca="false">IF(OR(F164="",P164=""),"",NETWORKDAYS(F164,P164,Lists!$F$5:$F$40)-1)</f>
        <v/>
      </c>
      <c r="W164" s="18" t="str">
        <f aca="false">IF(V164="","",IF(V164=0,"Same day","Overnight"))</f>
        <v/>
      </c>
      <c r="X164" s="18" t="str">
        <f aca="false">IF(OR(E164="",F164=""),"",IF(AND(E164&gt;=F164,OR(P164="",E164&lt;=P164)),"Yes","No"))</f>
        <v/>
      </c>
      <c r="Y164" s="20" t="str">
        <f aca="false">IF(A164="","",N(G164)-N(L164)-N(N164))</f>
        <v/>
      </c>
      <c r="Z164" s="21" t="str">
        <f aca="false">IF(OR(G164="",H164="",I164=""),"",ABS(H164-I164)*G164)</f>
        <v/>
      </c>
      <c r="AA164" s="22" t="str">
        <f aca="false">IF(OR(J164="",N(Z164)=0),"",ABS(J164-H164)/ABS(H164-I164))</f>
        <v/>
      </c>
      <c r="AB164" s="23" t="str">
        <f aca="false">IF(U164&lt;&gt;"Closed","",(N(L164)*N(M164)+N(N164)*N(O164)+Y164*Q164)/G164)</f>
        <v/>
      </c>
      <c r="AC164" s="24" t="str">
        <f aca="false">IF(U164&lt;&gt;"Closed","",IF($B164="Short",-1,1)*((N(M164)-H164)*N(L164)+(N(O164)-H164)*N(N164)+(Q164-H164)*Y164)-N(R164))</f>
        <v/>
      </c>
      <c r="AD164" s="25" t="str">
        <f aca="false">IF(OR(AC164="",N(Z164)=0),"",AC164/Z164)</f>
        <v/>
      </c>
      <c r="AE164" s="25" t="str">
        <f aca="false">IF(OR(S164="",N(Z164)=0),"",IF($B164="Short",-1,1)*(S164-H164)*G164/Z164)</f>
        <v/>
      </c>
      <c r="AF164" s="25" t="str">
        <f aca="false">IF(OR(T164="",N(Z164)=0),"",IF($B164="Short",-1,1)*(T164-H164)*G164/Z164)</f>
        <v/>
      </c>
      <c r="AG164" s="21" t="str">
        <f aca="false">IF(U164&lt;&gt;"Open","",Y164*MAX(0,IF($B164="Short",-1,1)*(H164-IF(K164="",I164,K164))))</f>
        <v/>
      </c>
      <c r="AH164" s="26" t="str">
        <f aca="false">IF(U164&lt;&gt;"Closed","",DATE(YEAR(P164),MONTH(P164),1))</f>
        <v/>
      </c>
      <c r="AI164" s="19" t="str">
        <f aca="false">IF(U164&lt;&gt;"Closed","",COUNTIFS($U$7:$U$506,"Closed",$P$7:$P$506,"&lt;"&amp;P164)+COUNTIFS($U$7:U164,"Closed",$P$7:P164,P164))</f>
        <v/>
      </c>
    </row>
    <row r="165" customFormat="false" ht="15" hidden="false" customHeight="false" outlineLevel="0" collapsed="false">
      <c r="A165" s="13"/>
      <c r="B165" s="14"/>
      <c r="C165" s="14"/>
      <c r="D165" s="14"/>
      <c r="E165" s="15"/>
      <c r="F165" s="15"/>
      <c r="G165" s="16"/>
      <c r="H165" s="17"/>
      <c r="I165" s="17"/>
      <c r="J165" s="17"/>
      <c r="K165" s="17"/>
      <c r="L165" s="16"/>
      <c r="M165" s="17"/>
      <c r="N165" s="16"/>
      <c r="O165" s="17"/>
      <c r="P165" s="15"/>
      <c r="Q165" s="17"/>
      <c r="R165" s="17"/>
      <c r="S165" s="17"/>
      <c r="T165" s="17"/>
      <c r="U165" s="18" t="str">
        <f aca="false">IF(A165="","",IF(N(G165)-N(L165)-N(N165)&lt;0,"Check shares",IF(AND(P165&lt;&gt;"",Q165&lt;&gt;""),"Closed","Open")))</f>
        <v/>
      </c>
      <c r="V165" s="19" t="str">
        <f aca="false">IF(OR(F165="",P165=""),"",NETWORKDAYS(F165,P165,Lists!$F$5:$F$40)-1)</f>
        <v/>
      </c>
      <c r="W165" s="18" t="str">
        <f aca="false">IF(V165="","",IF(V165=0,"Same day","Overnight"))</f>
        <v/>
      </c>
      <c r="X165" s="18" t="str">
        <f aca="false">IF(OR(E165="",F165=""),"",IF(AND(E165&gt;=F165,OR(P165="",E165&lt;=P165)),"Yes","No"))</f>
        <v/>
      </c>
      <c r="Y165" s="20" t="str">
        <f aca="false">IF(A165="","",N(G165)-N(L165)-N(N165))</f>
        <v/>
      </c>
      <c r="Z165" s="21" t="str">
        <f aca="false">IF(OR(G165="",H165="",I165=""),"",ABS(H165-I165)*G165)</f>
        <v/>
      </c>
      <c r="AA165" s="22" t="str">
        <f aca="false">IF(OR(J165="",N(Z165)=0),"",ABS(J165-H165)/ABS(H165-I165))</f>
        <v/>
      </c>
      <c r="AB165" s="23" t="str">
        <f aca="false">IF(U165&lt;&gt;"Closed","",(N(L165)*N(M165)+N(N165)*N(O165)+Y165*Q165)/G165)</f>
        <v/>
      </c>
      <c r="AC165" s="24" t="str">
        <f aca="false">IF(U165&lt;&gt;"Closed","",IF($B165="Short",-1,1)*((N(M165)-H165)*N(L165)+(N(O165)-H165)*N(N165)+(Q165-H165)*Y165)-N(R165))</f>
        <v/>
      </c>
      <c r="AD165" s="25" t="str">
        <f aca="false">IF(OR(AC165="",N(Z165)=0),"",AC165/Z165)</f>
        <v/>
      </c>
      <c r="AE165" s="25" t="str">
        <f aca="false">IF(OR(S165="",N(Z165)=0),"",IF($B165="Short",-1,1)*(S165-H165)*G165/Z165)</f>
        <v/>
      </c>
      <c r="AF165" s="25" t="str">
        <f aca="false">IF(OR(T165="",N(Z165)=0),"",IF($B165="Short",-1,1)*(T165-H165)*G165/Z165)</f>
        <v/>
      </c>
      <c r="AG165" s="21" t="str">
        <f aca="false">IF(U165&lt;&gt;"Open","",Y165*MAX(0,IF($B165="Short",-1,1)*(H165-IF(K165="",I165,K165))))</f>
        <v/>
      </c>
      <c r="AH165" s="26" t="str">
        <f aca="false">IF(U165&lt;&gt;"Closed","",DATE(YEAR(P165),MONTH(P165),1))</f>
        <v/>
      </c>
      <c r="AI165" s="19" t="str">
        <f aca="false">IF(U165&lt;&gt;"Closed","",COUNTIFS($U$7:$U$506,"Closed",$P$7:$P$506,"&lt;"&amp;P165)+COUNTIFS($U$7:U165,"Closed",$P$7:P165,P165))</f>
        <v/>
      </c>
    </row>
    <row r="166" customFormat="false" ht="15" hidden="false" customHeight="false" outlineLevel="0" collapsed="false">
      <c r="A166" s="13"/>
      <c r="B166" s="14"/>
      <c r="C166" s="14"/>
      <c r="D166" s="14"/>
      <c r="E166" s="15"/>
      <c r="F166" s="15"/>
      <c r="G166" s="16"/>
      <c r="H166" s="17"/>
      <c r="I166" s="17"/>
      <c r="J166" s="17"/>
      <c r="K166" s="17"/>
      <c r="L166" s="16"/>
      <c r="M166" s="17"/>
      <c r="N166" s="16"/>
      <c r="O166" s="17"/>
      <c r="P166" s="15"/>
      <c r="Q166" s="17"/>
      <c r="R166" s="17"/>
      <c r="S166" s="17"/>
      <c r="T166" s="17"/>
      <c r="U166" s="18" t="str">
        <f aca="false">IF(A166="","",IF(N(G166)-N(L166)-N(N166)&lt;0,"Check shares",IF(AND(P166&lt;&gt;"",Q166&lt;&gt;""),"Closed","Open")))</f>
        <v/>
      </c>
      <c r="V166" s="19" t="str">
        <f aca="false">IF(OR(F166="",P166=""),"",NETWORKDAYS(F166,P166,Lists!$F$5:$F$40)-1)</f>
        <v/>
      </c>
      <c r="W166" s="18" t="str">
        <f aca="false">IF(V166="","",IF(V166=0,"Same day","Overnight"))</f>
        <v/>
      </c>
      <c r="X166" s="18" t="str">
        <f aca="false">IF(OR(E166="",F166=""),"",IF(AND(E166&gt;=F166,OR(P166="",E166&lt;=P166)),"Yes","No"))</f>
        <v/>
      </c>
      <c r="Y166" s="20" t="str">
        <f aca="false">IF(A166="","",N(G166)-N(L166)-N(N166))</f>
        <v/>
      </c>
      <c r="Z166" s="21" t="str">
        <f aca="false">IF(OR(G166="",H166="",I166=""),"",ABS(H166-I166)*G166)</f>
        <v/>
      </c>
      <c r="AA166" s="22" t="str">
        <f aca="false">IF(OR(J166="",N(Z166)=0),"",ABS(J166-H166)/ABS(H166-I166))</f>
        <v/>
      </c>
      <c r="AB166" s="23" t="str">
        <f aca="false">IF(U166&lt;&gt;"Closed","",(N(L166)*N(M166)+N(N166)*N(O166)+Y166*Q166)/G166)</f>
        <v/>
      </c>
      <c r="AC166" s="24" t="str">
        <f aca="false">IF(U166&lt;&gt;"Closed","",IF($B166="Short",-1,1)*((N(M166)-H166)*N(L166)+(N(O166)-H166)*N(N166)+(Q166-H166)*Y166)-N(R166))</f>
        <v/>
      </c>
      <c r="AD166" s="25" t="str">
        <f aca="false">IF(OR(AC166="",N(Z166)=0),"",AC166/Z166)</f>
        <v/>
      </c>
      <c r="AE166" s="25" t="str">
        <f aca="false">IF(OR(S166="",N(Z166)=0),"",IF($B166="Short",-1,1)*(S166-H166)*G166/Z166)</f>
        <v/>
      </c>
      <c r="AF166" s="25" t="str">
        <f aca="false">IF(OR(T166="",N(Z166)=0),"",IF($B166="Short",-1,1)*(T166-H166)*G166/Z166)</f>
        <v/>
      </c>
      <c r="AG166" s="21" t="str">
        <f aca="false">IF(U166&lt;&gt;"Open","",Y166*MAX(0,IF($B166="Short",-1,1)*(H166-IF(K166="",I166,K166))))</f>
        <v/>
      </c>
      <c r="AH166" s="26" t="str">
        <f aca="false">IF(U166&lt;&gt;"Closed","",DATE(YEAR(P166),MONTH(P166),1))</f>
        <v/>
      </c>
      <c r="AI166" s="19" t="str">
        <f aca="false">IF(U166&lt;&gt;"Closed","",COUNTIFS($U$7:$U$506,"Closed",$P$7:$P$506,"&lt;"&amp;P166)+COUNTIFS($U$7:U166,"Closed",$P$7:P166,P166))</f>
        <v/>
      </c>
    </row>
    <row r="167" customFormat="false" ht="15" hidden="false" customHeight="false" outlineLevel="0" collapsed="false">
      <c r="A167" s="13"/>
      <c r="B167" s="14"/>
      <c r="C167" s="14"/>
      <c r="D167" s="14"/>
      <c r="E167" s="15"/>
      <c r="F167" s="15"/>
      <c r="G167" s="16"/>
      <c r="H167" s="17"/>
      <c r="I167" s="17"/>
      <c r="J167" s="17"/>
      <c r="K167" s="17"/>
      <c r="L167" s="16"/>
      <c r="M167" s="17"/>
      <c r="N167" s="16"/>
      <c r="O167" s="17"/>
      <c r="P167" s="15"/>
      <c r="Q167" s="17"/>
      <c r="R167" s="17"/>
      <c r="S167" s="17"/>
      <c r="T167" s="17"/>
      <c r="U167" s="18" t="str">
        <f aca="false">IF(A167="","",IF(N(G167)-N(L167)-N(N167)&lt;0,"Check shares",IF(AND(P167&lt;&gt;"",Q167&lt;&gt;""),"Closed","Open")))</f>
        <v/>
      </c>
      <c r="V167" s="19" t="str">
        <f aca="false">IF(OR(F167="",P167=""),"",NETWORKDAYS(F167,P167,Lists!$F$5:$F$40)-1)</f>
        <v/>
      </c>
      <c r="W167" s="18" t="str">
        <f aca="false">IF(V167="","",IF(V167=0,"Same day","Overnight"))</f>
        <v/>
      </c>
      <c r="X167" s="18" t="str">
        <f aca="false">IF(OR(E167="",F167=""),"",IF(AND(E167&gt;=F167,OR(P167="",E167&lt;=P167)),"Yes","No"))</f>
        <v/>
      </c>
      <c r="Y167" s="20" t="str">
        <f aca="false">IF(A167="","",N(G167)-N(L167)-N(N167))</f>
        <v/>
      </c>
      <c r="Z167" s="21" t="str">
        <f aca="false">IF(OR(G167="",H167="",I167=""),"",ABS(H167-I167)*G167)</f>
        <v/>
      </c>
      <c r="AA167" s="22" t="str">
        <f aca="false">IF(OR(J167="",N(Z167)=0),"",ABS(J167-H167)/ABS(H167-I167))</f>
        <v/>
      </c>
      <c r="AB167" s="23" t="str">
        <f aca="false">IF(U167&lt;&gt;"Closed","",(N(L167)*N(M167)+N(N167)*N(O167)+Y167*Q167)/G167)</f>
        <v/>
      </c>
      <c r="AC167" s="24" t="str">
        <f aca="false">IF(U167&lt;&gt;"Closed","",IF($B167="Short",-1,1)*((N(M167)-H167)*N(L167)+(N(O167)-H167)*N(N167)+(Q167-H167)*Y167)-N(R167))</f>
        <v/>
      </c>
      <c r="AD167" s="25" t="str">
        <f aca="false">IF(OR(AC167="",N(Z167)=0),"",AC167/Z167)</f>
        <v/>
      </c>
      <c r="AE167" s="25" t="str">
        <f aca="false">IF(OR(S167="",N(Z167)=0),"",IF($B167="Short",-1,1)*(S167-H167)*G167/Z167)</f>
        <v/>
      </c>
      <c r="AF167" s="25" t="str">
        <f aca="false">IF(OR(T167="",N(Z167)=0),"",IF($B167="Short",-1,1)*(T167-H167)*G167/Z167)</f>
        <v/>
      </c>
      <c r="AG167" s="21" t="str">
        <f aca="false">IF(U167&lt;&gt;"Open","",Y167*MAX(0,IF($B167="Short",-1,1)*(H167-IF(K167="",I167,K167))))</f>
        <v/>
      </c>
      <c r="AH167" s="26" t="str">
        <f aca="false">IF(U167&lt;&gt;"Closed","",DATE(YEAR(P167),MONTH(P167),1))</f>
        <v/>
      </c>
      <c r="AI167" s="19" t="str">
        <f aca="false">IF(U167&lt;&gt;"Closed","",COUNTIFS($U$7:$U$506,"Closed",$P$7:$P$506,"&lt;"&amp;P167)+COUNTIFS($U$7:U167,"Closed",$P$7:P167,P167))</f>
        <v/>
      </c>
    </row>
    <row r="168" customFormat="false" ht="15" hidden="false" customHeight="false" outlineLevel="0" collapsed="false">
      <c r="A168" s="13"/>
      <c r="B168" s="14"/>
      <c r="C168" s="14"/>
      <c r="D168" s="14"/>
      <c r="E168" s="15"/>
      <c r="F168" s="15"/>
      <c r="G168" s="16"/>
      <c r="H168" s="17"/>
      <c r="I168" s="17"/>
      <c r="J168" s="17"/>
      <c r="K168" s="17"/>
      <c r="L168" s="16"/>
      <c r="M168" s="17"/>
      <c r="N168" s="16"/>
      <c r="O168" s="17"/>
      <c r="P168" s="15"/>
      <c r="Q168" s="17"/>
      <c r="R168" s="17"/>
      <c r="S168" s="17"/>
      <c r="T168" s="17"/>
      <c r="U168" s="18" t="str">
        <f aca="false">IF(A168="","",IF(N(G168)-N(L168)-N(N168)&lt;0,"Check shares",IF(AND(P168&lt;&gt;"",Q168&lt;&gt;""),"Closed","Open")))</f>
        <v/>
      </c>
      <c r="V168" s="19" t="str">
        <f aca="false">IF(OR(F168="",P168=""),"",NETWORKDAYS(F168,P168,Lists!$F$5:$F$40)-1)</f>
        <v/>
      </c>
      <c r="W168" s="18" t="str">
        <f aca="false">IF(V168="","",IF(V168=0,"Same day","Overnight"))</f>
        <v/>
      </c>
      <c r="X168" s="18" t="str">
        <f aca="false">IF(OR(E168="",F168=""),"",IF(AND(E168&gt;=F168,OR(P168="",E168&lt;=P168)),"Yes","No"))</f>
        <v/>
      </c>
      <c r="Y168" s="20" t="str">
        <f aca="false">IF(A168="","",N(G168)-N(L168)-N(N168))</f>
        <v/>
      </c>
      <c r="Z168" s="21" t="str">
        <f aca="false">IF(OR(G168="",H168="",I168=""),"",ABS(H168-I168)*G168)</f>
        <v/>
      </c>
      <c r="AA168" s="22" t="str">
        <f aca="false">IF(OR(J168="",N(Z168)=0),"",ABS(J168-H168)/ABS(H168-I168))</f>
        <v/>
      </c>
      <c r="AB168" s="23" t="str">
        <f aca="false">IF(U168&lt;&gt;"Closed","",(N(L168)*N(M168)+N(N168)*N(O168)+Y168*Q168)/G168)</f>
        <v/>
      </c>
      <c r="AC168" s="24" t="str">
        <f aca="false">IF(U168&lt;&gt;"Closed","",IF($B168="Short",-1,1)*((N(M168)-H168)*N(L168)+(N(O168)-H168)*N(N168)+(Q168-H168)*Y168)-N(R168))</f>
        <v/>
      </c>
      <c r="AD168" s="25" t="str">
        <f aca="false">IF(OR(AC168="",N(Z168)=0),"",AC168/Z168)</f>
        <v/>
      </c>
      <c r="AE168" s="25" t="str">
        <f aca="false">IF(OR(S168="",N(Z168)=0),"",IF($B168="Short",-1,1)*(S168-H168)*G168/Z168)</f>
        <v/>
      </c>
      <c r="AF168" s="25" t="str">
        <f aca="false">IF(OR(T168="",N(Z168)=0),"",IF($B168="Short",-1,1)*(T168-H168)*G168/Z168)</f>
        <v/>
      </c>
      <c r="AG168" s="21" t="str">
        <f aca="false">IF(U168&lt;&gt;"Open","",Y168*MAX(0,IF($B168="Short",-1,1)*(H168-IF(K168="",I168,K168))))</f>
        <v/>
      </c>
      <c r="AH168" s="26" t="str">
        <f aca="false">IF(U168&lt;&gt;"Closed","",DATE(YEAR(P168),MONTH(P168),1))</f>
        <v/>
      </c>
      <c r="AI168" s="19" t="str">
        <f aca="false">IF(U168&lt;&gt;"Closed","",COUNTIFS($U$7:$U$506,"Closed",$P$7:$P$506,"&lt;"&amp;P168)+COUNTIFS($U$7:U168,"Closed",$P$7:P168,P168))</f>
        <v/>
      </c>
    </row>
    <row r="169" customFormat="false" ht="15" hidden="false" customHeight="false" outlineLevel="0" collapsed="false">
      <c r="A169" s="13"/>
      <c r="B169" s="14"/>
      <c r="C169" s="14"/>
      <c r="D169" s="14"/>
      <c r="E169" s="15"/>
      <c r="F169" s="15"/>
      <c r="G169" s="16"/>
      <c r="H169" s="17"/>
      <c r="I169" s="17"/>
      <c r="J169" s="17"/>
      <c r="K169" s="17"/>
      <c r="L169" s="16"/>
      <c r="M169" s="17"/>
      <c r="N169" s="16"/>
      <c r="O169" s="17"/>
      <c r="P169" s="15"/>
      <c r="Q169" s="17"/>
      <c r="R169" s="17"/>
      <c r="S169" s="17"/>
      <c r="T169" s="17"/>
      <c r="U169" s="18" t="str">
        <f aca="false">IF(A169="","",IF(N(G169)-N(L169)-N(N169)&lt;0,"Check shares",IF(AND(P169&lt;&gt;"",Q169&lt;&gt;""),"Closed","Open")))</f>
        <v/>
      </c>
      <c r="V169" s="19" t="str">
        <f aca="false">IF(OR(F169="",P169=""),"",NETWORKDAYS(F169,P169,Lists!$F$5:$F$40)-1)</f>
        <v/>
      </c>
      <c r="W169" s="18" t="str">
        <f aca="false">IF(V169="","",IF(V169=0,"Same day","Overnight"))</f>
        <v/>
      </c>
      <c r="X169" s="18" t="str">
        <f aca="false">IF(OR(E169="",F169=""),"",IF(AND(E169&gt;=F169,OR(P169="",E169&lt;=P169)),"Yes","No"))</f>
        <v/>
      </c>
      <c r="Y169" s="20" t="str">
        <f aca="false">IF(A169="","",N(G169)-N(L169)-N(N169))</f>
        <v/>
      </c>
      <c r="Z169" s="21" t="str">
        <f aca="false">IF(OR(G169="",H169="",I169=""),"",ABS(H169-I169)*G169)</f>
        <v/>
      </c>
      <c r="AA169" s="22" t="str">
        <f aca="false">IF(OR(J169="",N(Z169)=0),"",ABS(J169-H169)/ABS(H169-I169))</f>
        <v/>
      </c>
      <c r="AB169" s="23" t="str">
        <f aca="false">IF(U169&lt;&gt;"Closed","",(N(L169)*N(M169)+N(N169)*N(O169)+Y169*Q169)/G169)</f>
        <v/>
      </c>
      <c r="AC169" s="24" t="str">
        <f aca="false">IF(U169&lt;&gt;"Closed","",IF($B169="Short",-1,1)*((N(M169)-H169)*N(L169)+(N(O169)-H169)*N(N169)+(Q169-H169)*Y169)-N(R169))</f>
        <v/>
      </c>
      <c r="AD169" s="25" t="str">
        <f aca="false">IF(OR(AC169="",N(Z169)=0),"",AC169/Z169)</f>
        <v/>
      </c>
      <c r="AE169" s="25" t="str">
        <f aca="false">IF(OR(S169="",N(Z169)=0),"",IF($B169="Short",-1,1)*(S169-H169)*G169/Z169)</f>
        <v/>
      </c>
      <c r="AF169" s="25" t="str">
        <f aca="false">IF(OR(T169="",N(Z169)=0),"",IF($B169="Short",-1,1)*(T169-H169)*G169/Z169)</f>
        <v/>
      </c>
      <c r="AG169" s="21" t="str">
        <f aca="false">IF(U169&lt;&gt;"Open","",Y169*MAX(0,IF($B169="Short",-1,1)*(H169-IF(K169="",I169,K169))))</f>
        <v/>
      </c>
      <c r="AH169" s="26" t="str">
        <f aca="false">IF(U169&lt;&gt;"Closed","",DATE(YEAR(P169),MONTH(P169),1))</f>
        <v/>
      </c>
      <c r="AI169" s="19" t="str">
        <f aca="false">IF(U169&lt;&gt;"Closed","",COUNTIFS($U$7:$U$506,"Closed",$P$7:$P$506,"&lt;"&amp;P169)+COUNTIFS($U$7:U169,"Closed",$P$7:P169,P169))</f>
        <v/>
      </c>
    </row>
    <row r="170" customFormat="false" ht="15" hidden="false" customHeight="false" outlineLevel="0" collapsed="false">
      <c r="A170" s="13"/>
      <c r="B170" s="14"/>
      <c r="C170" s="14"/>
      <c r="D170" s="14"/>
      <c r="E170" s="15"/>
      <c r="F170" s="15"/>
      <c r="G170" s="16"/>
      <c r="H170" s="17"/>
      <c r="I170" s="17"/>
      <c r="J170" s="17"/>
      <c r="K170" s="17"/>
      <c r="L170" s="16"/>
      <c r="M170" s="17"/>
      <c r="N170" s="16"/>
      <c r="O170" s="17"/>
      <c r="P170" s="15"/>
      <c r="Q170" s="17"/>
      <c r="R170" s="17"/>
      <c r="S170" s="17"/>
      <c r="T170" s="17"/>
      <c r="U170" s="18" t="str">
        <f aca="false">IF(A170="","",IF(N(G170)-N(L170)-N(N170)&lt;0,"Check shares",IF(AND(P170&lt;&gt;"",Q170&lt;&gt;""),"Closed","Open")))</f>
        <v/>
      </c>
      <c r="V170" s="19" t="str">
        <f aca="false">IF(OR(F170="",P170=""),"",NETWORKDAYS(F170,P170,Lists!$F$5:$F$40)-1)</f>
        <v/>
      </c>
      <c r="W170" s="18" t="str">
        <f aca="false">IF(V170="","",IF(V170=0,"Same day","Overnight"))</f>
        <v/>
      </c>
      <c r="X170" s="18" t="str">
        <f aca="false">IF(OR(E170="",F170=""),"",IF(AND(E170&gt;=F170,OR(P170="",E170&lt;=P170)),"Yes","No"))</f>
        <v/>
      </c>
      <c r="Y170" s="20" t="str">
        <f aca="false">IF(A170="","",N(G170)-N(L170)-N(N170))</f>
        <v/>
      </c>
      <c r="Z170" s="21" t="str">
        <f aca="false">IF(OR(G170="",H170="",I170=""),"",ABS(H170-I170)*G170)</f>
        <v/>
      </c>
      <c r="AA170" s="22" t="str">
        <f aca="false">IF(OR(J170="",N(Z170)=0),"",ABS(J170-H170)/ABS(H170-I170))</f>
        <v/>
      </c>
      <c r="AB170" s="23" t="str">
        <f aca="false">IF(U170&lt;&gt;"Closed","",(N(L170)*N(M170)+N(N170)*N(O170)+Y170*Q170)/G170)</f>
        <v/>
      </c>
      <c r="AC170" s="24" t="str">
        <f aca="false">IF(U170&lt;&gt;"Closed","",IF($B170="Short",-1,1)*((N(M170)-H170)*N(L170)+(N(O170)-H170)*N(N170)+(Q170-H170)*Y170)-N(R170))</f>
        <v/>
      </c>
      <c r="AD170" s="25" t="str">
        <f aca="false">IF(OR(AC170="",N(Z170)=0),"",AC170/Z170)</f>
        <v/>
      </c>
      <c r="AE170" s="25" t="str">
        <f aca="false">IF(OR(S170="",N(Z170)=0),"",IF($B170="Short",-1,1)*(S170-H170)*G170/Z170)</f>
        <v/>
      </c>
      <c r="AF170" s="25" t="str">
        <f aca="false">IF(OR(T170="",N(Z170)=0),"",IF($B170="Short",-1,1)*(T170-H170)*G170/Z170)</f>
        <v/>
      </c>
      <c r="AG170" s="21" t="str">
        <f aca="false">IF(U170&lt;&gt;"Open","",Y170*MAX(0,IF($B170="Short",-1,1)*(H170-IF(K170="",I170,K170))))</f>
        <v/>
      </c>
      <c r="AH170" s="26" t="str">
        <f aca="false">IF(U170&lt;&gt;"Closed","",DATE(YEAR(P170),MONTH(P170),1))</f>
        <v/>
      </c>
      <c r="AI170" s="19" t="str">
        <f aca="false">IF(U170&lt;&gt;"Closed","",COUNTIFS($U$7:$U$506,"Closed",$P$7:$P$506,"&lt;"&amp;P170)+COUNTIFS($U$7:U170,"Closed",$P$7:P170,P170))</f>
        <v/>
      </c>
    </row>
    <row r="171" customFormat="false" ht="15" hidden="false" customHeight="false" outlineLevel="0" collapsed="false">
      <c r="A171" s="13"/>
      <c r="B171" s="14"/>
      <c r="C171" s="14"/>
      <c r="D171" s="14"/>
      <c r="E171" s="15"/>
      <c r="F171" s="15"/>
      <c r="G171" s="16"/>
      <c r="H171" s="17"/>
      <c r="I171" s="17"/>
      <c r="J171" s="17"/>
      <c r="K171" s="17"/>
      <c r="L171" s="16"/>
      <c r="M171" s="17"/>
      <c r="N171" s="16"/>
      <c r="O171" s="17"/>
      <c r="P171" s="15"/>
      <c r="Q171" s="17"/>
      <c r="R171" s="17"/>
      <c r="S171" s="17"/>
      <c r="T171" s="17"/>
      <c r="U171" s="18" t="str">
        <f aca="false">IF(A171="","",IF(N(G171)-N(L171)-N(N171)&lt;0,"Check shares",IF(AND(P171&lt;&gt;"",Q171&lt;&gt;""),"Closed","Open")))</f>
        <v/>
      </c>
      <c r="V171" s="19" t="str">
        <f aca="false">IF(OR(F171="",P171=""),"",NETWORKDAYS(F171,P171,Lists!$F$5:$F$40)-1)</f>
        <v/>
      </c>
      <c r="W171" s="18" t="str">
        <f aca="false">IF(V171="","",IF(V171=0,"Same day","Overnight"))</f>
        <v/>
      </c>
      <c r="X171" s="18" t="str">
        <f aca="false">IF(OR(E171="",F171=""),"",IF(AND(E171&gt;=F171,OR(P171="",E171&lt;=P171)),"Yes","No"))</f>
        <v/>
      </c>
      <c r="Y171" s="20" t="str">
        <f aca="false">IF(A171="","",N(G171)-N(L171)-N(N171))</f>
        <v/>
      </c>
      <c r="Z171" s="21" t="str">
        <f aca="false">IF(OR(G171="",H171="",I171=""),"",ABS(H171-I171)*G171)</f>
        <v/>
      </c>
      <c r="AA171" s="22" t="str">
        <f aca="false">IF(OR(J171="",N(Z171)=0),"",ABS(J171-H171)/ABS(H171-I171))</f>
        <v/>
      </c>
      <c r="AB171" s="23" t="str">
        <f aca="false">IF(U171&lt;&gt;"Closed","",(N(L171)*N(M171)+N(N171)*N(O171)+Y171*Q171)/G171)</f>
        <v/>
      </c>
      <c r="AC171" s="24" t="str">
        <f aca="false">IF(U171&lt;&gt;"Closed","",IF($B171="Short",-1,1)*((N(M171)-H171)*N(L171)+(N(O171)-H171)*N(N171)+(Q171-H171)*Y171)-N(R171))</f>
        <v/>
      </c>
      <c r="AD171" s="25" t="str">
        <f aca="false">IF(OR(AC171="",N(Z171)=0),"",AC171/Z171)</f>
        <v/>
      </c>
      <c r="AE171" s="25" t="str">
        <f aca="false">IF(OR(S171="",N(Z171)=0),"",IF($B171="Short",-1,1)*(S171-H171)*G171/Z171)</f>
        <v/>
      </c>
      <c r="AF171" s="25" t="str">
        <f aca="false">IF(OR(T171="",N(Z171)=0),"",IF($B171="Short",-1,1)*(T171-H171)*G171/Z171)</f>
        <v/>
      </c>
      <c r="AG171" s="21" t="str">
        <f aca="false">IF(U171&lt;&gt;"Open","",Y171*MAX(0,IF($B171="Short",-1,1)*(H171-IF(K171="",I171,K171))))</f>
        <v/>
      </c>
      <c r="AH171" s="26" t="str">
        <f aca="false">IF(U171&lt;&gt;"Closed","",DATE(YEAR(P171),MONTH(P171),1))</f>
        <v/>
      </c>
      <c r="AI171" s="19" t="str">
        <f aca="false">IF(U171&lt;&gt;"Closed","",COUNTIFS($U$7:$U$506,"Closed",$P$7:$P$506,"&lt;"&amp;P171)+COUNTIFS($U$7:U171,"Closed",$P$7:P171,P171))</f>
        <v/>
      </c>
    </row>
    <row r="172" customFormat="false" ht="15" hidden="false" customHeight="false" outlineLevel="0" collapsed="false">
      <c r="A172" s="13"/>
      <c r="B172" s="14"/>
      <c r="C172" s="14"/>
      <c r="D172" s="14"/>
      <c r="E172" s="15"/>
      <c r="F172" s="15"/>
      <c r="G172" s="16"/>
      <c r="H172" s="17"/>
      <c r="I172" s="17"/>
      <c r="J172" s="17"/>
      <c r="K172" s="17"/>
      <c r="L172" s="16"/>
      <c r="M172" s="17"/>
      <c r="N172" s="16"/>
      <c r="O172" s="17"/>
      <c r="P172" s="15"/>
      <c r="Q172" s="17"/>
      <c r="R172" s="17"/>
      <c r="S172" s="17"/>
      <c r="T172" s="17"/>
      <c r="U172" s="18" t="str">
        <f aca="false">IF(A172="","",IF(N(G172)-N(L172)-N(N172)&lt;0,"Check shares",IF(AND(P172&lt;&gt;"",Q172&lt;&gt;""),"Closed","Open")))</f>
        <v/>
      </c>
      <c r="V172" s="19" t="str">
        <f aca="false">IF(OR(F172="",P172=""),"",NETWORKDAYS(F172,P172,Lists!$F$5:$F$40)-1)</f>
        <v/>
      </c>
      <c r="W172" s="18" t="str">
        <f aca="false">IF(V172="","",IF(V172=0,"Same day","Overnight"))</f>
        <v/>
      </c>
      <c r="X172" s="18" t="str">
        <f aca="false">IF(OR(E172="",F172=""),"",IF(AND(E172&gt;=F172,OR(P172="",E172&lt;=P172)),"Yes","No"))</f>
        <v/>
      </c>
      <c r="Y172" s="20" t="str">
        <f aca="false">IF(A172="","",N(G172)-N(L172)-N(N172))</f>
        <v/>
      </c>
      <c r="Z172" s="21" t="str">
        <f aca="false">IF(OR(G172="",H172="",I172=""),"",ABS(H172-I172)*G172)</f>
        <v/>
      </c>
      <c r="AA172" s="22" t="str">
        <f aca="false">IF(OR(J172="",N(Z172)=0),"",ABS(J172-H172)/ABS(H172-I172))</f>
        <v/>
      </c>
      <c r="AB172" s="23" t="str">
        <f aca="false">IF(U172&lt;&gt;"Closed","",(N(L172)*N(M172)+N(N172)*N(O172)+Y172*Q172)/G172)</f>
        <v/>
      </c>
      <c r="AC172" s="24" t="str">
        <f aca="false">IF(U172&lt;&gt;"Closed","",IF($B172="Short",-1,1)*((N(M172)-H172)*N(L172)+(N(O172)-H172)*N(N172)+(Q172-H172)*Y172)-N(R172))</f>
        <v/>
      </c>
      <c r="AD172" s="25" t="str">
        <f aca="false">IF(OR(AC172="",N(Z172)=0),"",AC172/Z172)</f>
        <v/>
      </c>
      <c r="AE172" s="25" t="str">
        <f aca="false">IF(OR(S172="",N(Z172)=0),"",IF($B172="Short",-1,1)*(S172-H172)*G172/Z172)</f>
        <v/>
      </c>
      <c r="AF172" s="25" t="str">
        <f aca="false">IF(OR(T172="",N(Z172)=0),"",IF($B172="Short",-1,1)*(T172-H172)*G172/Z172)</f>
        <v/>
      </c>
      <c r="AG172" s="21" t="str">
        <f aca="false">IF(U172&lt;&gt;"Open","",Y172*MAX(0,IF($B172="Short",-1,1)*(H172-IF(K172="",I172,K172))))</f>
        <v/>
      </c>
      <c r="AH172" s="26" t="str">
        <f aca="false">IF(U172&lt;&gt;"Closed","",DATE(YEAR(P172),MONTH(P172),1))</f>
        <v/>
      </c>
      <c r="AI172" s="19" t="str">
        <f aca="false">IF(U172&lt;&gt;"Closed","",COUNTIFS($U$7:$U$506,"Closed",$P$7:$P$506,"&lt;"&amp;P172)+COUNTIFS($U$7:U172,"Closed",$P$7:P172,P172))</f>
        <v/>
      </c>
    </row>
    <row r="173" customFormat="false" ht="15" hidden="false" customHeight="false" outlineLevel="0" collapsed="false">
      <c r="A173" s="13"/>
      <c r="B173" s="14"/>
      <c r="C173" s="14"/>
      <c r="D173" s="14"/>
      <c r="E173" s="15"/>
      <c r="F173" s="15"/>
      <c r="G173" s="16"/>
      <c r="H173" s="17"/>
      <c r="I173" s="17"/>
      <c r="J173" s="17"/>
      <c r="K173" s="17"/>
      <c r="L173" s="16"/>
      <c r="M173" s="17"/>
      <c r="N173" s="16"/>
      <c r="O173" s="17"/>
      <c r="P173" s="15"/>
      <c r="Q173" s="17"/>
      <c r="R173" s="17"/>
      <c r="S173" s="17"/>
      <c r="T173" s="17"/>
      <c r="U173" s="18" t="str">
        <f aca="false">IF(A173="","",IF(N(G173)-N(L173)-N(N173)&lt;0,"Check shares",IF(AND(P173&lt;&gt;"",Q173&lt;&gt;""),"Closed","Open")))</f>
        <v/>
      </c>
      <c r="V173" s="19" t="str">
        <f aca="false">IF(OR(F173="",P173=""),"",NETWORKDAYS(F173,P173,Lists!$F$5:$F$40)-1)</f>
        <v/>
      </c>
      <c r="W173" s="18" t="str">
        <f aca="false">IF(V173="","",IF(V173=0,"Same day","Overnight"))</f>
        <v/>
      </c>
      <c r="X173" s="18" t="str">
        <f aca="false">IF(OR(E173="",F173=""),"",IF(AND(E173&gt;=F173,OR(P173="",E173&lt;=P173)),"Yes","No"))</f>
        <v/>
      </c>
      <c r="Y173" s="20" t="str">
        <f aca="false">IF(A173="","",N(G173)-N(L173)-N(N173))</f>
        <v/>
      </c>
      <c r="Z173" s="21" t="str">
        <f aca="false">IF(OR(G173="",H173="",I173=""),"",ABS(H173-I173)*G173)</f>
        <v/>
      </c>
      <c r="AA173" s="22" t="str">
        <f aca="false">IF(OR(J173="",N(Z173)=0),"",ABS(J173-H173)/ABS(H173-I173))</f>
        <v/>
      </c>
      <c r="AB173" s="23" t="str">
        <f aca="false">IF(U173&lt;&gt;"Closed","",(N(L173)*N(M173)+N(N173)*N(O173)+Y173*Q173)/G173)</f>
        <v/>
      </c>
      <c r="AC173" s="24" t="str">
        <f aca="false">IF(U173&lt;&gt;"Closed","",IF($B173="Short",-1,1)*((N(M173)-H173)*N(L173)+(N(O173)-H173)*N(N173)+(Q173-H173)*Y173)-N(R173))</f>
        <v/>
      </c>
      <c r="AD173" s="25" t="str">
        <f aca="false">IF(OR(AC173="",N(Z173)=0),"",AC173/Z173)</f>
        <v/>
      </c>
      <c r="AE173" s="25" t="str">
        <f aca="false">IF(OR(S173="",N(Z173)=0),"",IF($B173="Short",-1,1)*(S173-H173)*G173/Z173)</f>
        <v/>
      </c>
      <c r="AF173" s="25" t="str">
        <f aca="false">IF(OR(T173="",N(Z173)=0),"",IF($B173="Short",-1,1)*(T173-H173)*G173/Z173)</f>
        <v/>
      </c>
      <c r="AG173" s="21" t="str">
        <f aca="false">IF(U173&lt;&gt;"Open","",Y173*MAX(0,IF($B173="Short",-1,1)*(H173-IF(K173="",I173,K173))))</f>
        <v/>
      </c>
      <c r="AH173" s="26" t="str">
        <f aca="false">IF(U173&lt;&gt;"Closed","",DATE(YEAR(P173),MONTH(P173),1))</f>
        <v/>
      </c>
      <c r="AI173" s="19" t="str">
        <f aca="false">IF(U173&lt;&gt;"Closed","",COUNTIFS($U$7:$U$506,"Closed",$P$7:$P$506,"&lt;"&amp;P173)+COUNTIFS($U$7:U173,"Closed",$P$7:P173,P173))</f>
        <v/>
      </c>
    </row>
    <row r="174" customFormat="false" ht="15" hidden="false" customHeight="false" outlineLevel="0" collapsed="false">
      <c r="A174" s="13"/>
      <c r="B174" s="14"/>
      <c r="C174" s="14"/>
      <c r="D174" s="14"/>
      <c r="E174" s="15"/>
      <c r="F174" s="15"/>
      <c r="G174" s="16"/>
      <c r="H174" s="17"/>
      <c r="I174" s="17"/>
      <c r="J174" s="17"/>
      <c r="K174" s="17"/>
      <c r="L174" s="16"/>
      <c r="M174" s="17"/>
      <c r="N174" s="16"/>
      <c r="O174" s="17"/>
      <c r="P174" s="15"/>
      <c r="Q174" s="17"/>
      <c r="R174" s="17"/>
      <c r="S174" s="17"/>
      <c r="T174" s="17"/>
      <c r="U174" s="18" t="str">
        <f aca="false">IF(A174="","",IF(N(G174)-N(L174)-N(N174)&lt;0,"Check shares",IF(AND(P174&lt;&gt;"",Q174&lt;&gt;""),"Closed","Open")))</f>
        <v/>
      </c>
      <c r="V174" s="19" t="str">
        <f aca="false">IF(OR(F174="",P174=""),"",NETWORKDAYS(F174,P174,Lists!$F$5:$F$40)-1)</f>
        <v/>
      </c>
      <c r="W174" s="18" t="str">
        <f aca="false">IF(V174="","",IF(V174=0,"Same day","Overnight"))</f>
        <v/>
      </c>
      <c r="X174" s="18" t="str">
        <f aca="false">IF(OR(E174="",F174=""),"",IF(AND(E174&gt;=F174,OR(P174="",E174&lt;=P174)),"Yes","No"))</f>
        <v/>
      </c>
      <c r="Y174" s="20" t="str">
        <f aca="false">IF(A174="","",N(G174)-N(L174)-N(N174))</f>
        <v/>
      </c>
      <c r="Z174" s="21" t="str">
        <f aca="false">IF(OR(G174="",H174="",I174=""),"",ABS(H174-I174)*G174)</f>
        <v/>
      </c>
      <c r="AA174" s="22" t="str">
        <f aca="false">IF(OR(J174="",N(Z174)=0),"",ABS(J174-H174)/ABS(H174-I174))</f>
        <v/>
      </c>
      <c r="AB174" s="23" t="str">
        <f aca="false">IF(U174&lt;&gt;"Closed","",(N(L174)*N(M174)+N(N174)*N(O174)+Y174*Q174)/G174)</f>
        <v/>
      </c>
      <c r="AC174" s="24" t="str">
        <f aca="false">IF(U174&lt;&gt;"Closed","",IF($B174="Short",-1,1)*((N(M174)-H174)*N(L174)+(N(O174)-H174)*N(N174)+(Q174-H174)*Y174)-N(R174))</f>
        <v/>
      </c>
      <c r="AD174" s="25" t="str">
        <f aca="false">IF(OR(AC174="",N(Z174)=0),"",AC174/Z174)</f>
        <v/>
      </c>
      <c r="AE174" s="25" t="str">
        <f aca="false">IF(OR(S174="",N(Z174)=0),"",IF($B174="Short",-1,1)*(S174-H174)*G174/Z174)</f>
        <v/>
      </c>
      <c r="AF174" s="25" t="str">
        <f aca="false">IF(OR(T174="",N(Z174)=0),"",IF($B174="Short",-1,1)*(T174-H174)*G174/Z174)</f>
        <v/>
      </c>
      <c r="AG174" s="21" t="str">
        <f aca="false">IF(U174&lt;&gt;"Open","",Y174*MAX(0,IF($B174="Short",-1,1)*(H174-IF(K174="",I174,K174))))</f>
        <v/>
      </c>
      <c r="AH174" s="26" t="str">
        <f aca="false">IF(U174&lt;&gt;"Closed","",DATE(YEAR(P174),MONTH(P174),1))</f>
        <v/>
      </c>
      <c r="AI174" s="19" t="str">
        <f aca="false">IF(U174&lt;&gt;"Closed","",COUNTIFS($U$7:$U$506,"Closed",$P$7:$P$506,"&lt;"&amp;P174)+COUNTIFS($U$7:U174,"Closed",$P$7:P174,P174))</f>
        <v/>
      </c>
    </row>
    <row r="175" customFormat="false" ht="15" hidden="false" customHeight="false" outlineLevel="0" collapsed="false">
      <c r="A175" s="13"/>
      <c r="B175" s="14"/>
      <c r="C175" s="14"/>
      <c r="D175" s="14"/>
      <c r="E175" s="15"/>
      <c r="F175" s="15"/>
      <c r="G175" s="16"/>
      <c r="H175" s="17"/>
      <c r="I175" s="17"/>
      <c r="J175" s="17"/>
      <c r="K175" s="17"/>
      <c r="L175" s="16"/>
      <c r="M175" s="17"/>
      <c r="N175" s="16"/>
      <c r="O175" s="17"/>
      <c r="P175" s="15"/>
      <c r="Q175" s="17"/>
      <c r="R175" s="17"/>
      <c r="S175" s="17"/>
      <c r="T175" s="17"/>
      <c r="U175" s="18" t="str">
        <f aca="false">IF(A175="","",IF(N(G175)-N(L175)-N(N175)&lt;0,"Check shares",IF(AND(P175&lt;&gt;"",Q175&lt;&gt;""),"Closed","Open")))</f>
        <v/>
      </c>
      <c r="V175" s="19" t="str">
        <f aca="false">IF(OR(F175="",P175=""),"",NETWORKDAYS(F175,P175,Lists!$F$5:$F$40)-1)</f>
        <v/>
      </c>
      <c r="W175" s="18" t="str">
        <f aca="false">IF(V175="","",IF(V175=0,"Same day","Overnight"))</f>
        <v/>
      </c>
      <c r="X175" s="18" t="str">
        <f aca="false">IF(OR(E175="",F175=""),"",IF(AND(E175&gt;=F175,OR(P175="",E175&lt;=P175)),"Yes","No"))</f>
        <v/>
      </c>
      <c r="Y175" s="20" t="str">
        <f aca="false">IF(A175="","",N(G175)-N(L175)-N(N175))</f>
        <v/>
      </c>
      <c r="Z175" s="21" t="str">
        <f aca="false">IF(OR(G175="",H175="",I175=""),"",ABS(H175-I175)*G175)</f>
        <v/>
      </c>
      <c r="AA175" s="22" t="str">
        <f aca="false">IF(OR(J175="",N(Z175)=0),"",ABS(J175-H175)/ABS(H175-I175))</f>
        <v/>
      </c>
      <c r="AB175" s="23" t="str">
        <f aca="false">IF(U175&lt;&gt;"Closed","",(N(L175)*N(M175)+N(N175)*N(O175)+Y175*Q175)/G175)</f>
        <v/>
      </c>
      <c r="AC175" s="24" t="str">
        <f aca="false">IF(U175&lt;&gt;"Closed","",IF($B175="Short",-1,1)*((N(M175)-H175)*N(L175)+(N(O175)-H175)*N(N175)+(Q175-H175)*Y175)-N(R175))</f>
        <v/>
      </c>
      <c r="AD175" s="25" t="str">
        <f aca="false">IF(OR(AC175="",N(Z175)=0),"",AC175/Z175)</f>
        <v/>
      </c>
      <c r="AE175" s="25" t="str">
        <f aca="false">IF(OR(S175="",N(Z175)=0),"",IF($B175="Short",-1,1)*(S175-H175)*G175/Z175)</f>
        <v/>
      </c>
      <c r="AF175" s="25" t="str">
        <f aca="false">IF(OR(T175="",N(Z175)=0),"",IF($B175="Short",-1,1)*(T175-H175)*G175/Z175)</f>
        <v/>
      </c>
      <c r="AG175" s="21" t="str">
        <f aca="false">IF(U175&lt;&gt;"Open","",Y175*MAX(0,IF($B175="Short",-1,1)*(H175-IF(K175="",I175,K175))))</f>
        <v/>
      </c>
      <c r="AH175" s="26" t="str">
        <f aca="false">IF(U175&lt;&gt;"Closed","",DATE(YEAR(P175),MONTH(P175),1))</f>
        <v/>
      </c>
      <c r="AI175" s="19" t="str">
        <f aca="false">IF(U175&lt;&gt;"Closed","",COUNTIFS($U$7:$U$506,"Closed",$P$7:$P$506,"&lt;"&amp;P175)+COUNTIFS($U$7:U175,"Closed",$P$7:P175,P175))</f>
        <v/>
      </c>
    </row>
    <row r="176" customFormat="false" ht="15" hidden="false" customHeight="false" outlineLevel="0" collapsed="false">
      <c r="A176" s="13"/>
      <c r="B176" s="14"/>
      <c r="C176" s="14"/>
      <c r="D176" s="14"/>
      <c r="E176" s="15"/>
      <c r="F176" s="15"/>
      <c r="G176" s="16"/>
      <c r="H176" s="17"/>
      <c r="I176" s="17"/>
      <c r="J176" s="17"/>
      <c r="K176" s="17"/>
      <c r="L176" s="16"/>
      <c r="M176" s="17"/>
      <c r="N176" s="16"/>
      <c r="O176" s="17"/>
      <c r="P176" s="15"/>
      <c r="Q176" s="17"/>
      <c r="R176" s="17"/>
      <c r="S176" s="17"/>
      <c r="T176" s="17"/>
      <c r="U176" s="18" t="str">
        <f aca="false">IF(A176="","",IF(N(G176)-N(L176)-N(N176)&lt;0,"Check shares",IF(AND(P176&lt;&gt;"",Q176&lt;&gt;""),"Closed","Open")))</f>
        <v/>
      </c>
      <c r="V176" s="19" t="str">
        <f aca="false">IF(OR(F176="",P176=""),"",NETWORKDAYS(F176,P176,Lists!$F$5:$F$40)-1)</f>
        <v/>
      </c>
      <c r="W176" s="18" t="str">
        <f aca="false">IF(V176="","",IF(V176=0,"Same day","Overnight"))</f>
        <v/>
      </c>
      <c r="X176" s="18" t="str">
        <f aca="false">IF(OR(E176="",F176=""),"",IF(AND(E176&gt;=F176,OR(P176="",E176&lt;=P176)),"Yes","No"))</f>
        <v/>
      </c>
      <c r="Y176" s="20" t="str">
        <f aca="false">IF(A176="","",N(G176)-N(L176)-N(N176))</f>
        <v/>
      </c>
      <c r="Z176" s="21" t="str">
        <f aca="false">IF(OR(G176="",H176="",I176=""),"",ABS(H176-I176)*G176)</f>
        <v/>
      </c>
      <c r="AA176" s="22" t="str">
        <f aca="false">IF(OR(J176="",N(Z176)=0),"",ABS(J176-H176)/ABS(H176-I176))</f>
        <v/>
      </c>
      <c r="AB176" s="23" t="str">
        <f aca="false">IF(U176&lt;&gt;"Closed","",(N(L176)*N(M176)+N(N176)*N(O176)+Y176*Q176)/G176)</f>
        <v/>
      </c>
      <c r="AC176" s="24" t="str">
        <f aca="false">IF(U176&lt;&gt;"Closed","",IF($B176="Short",-1,1)*((N(M176)-H176)*N(L176)+(N(O176)-H176)*N(N176)+(Q176-H176)*Y176)-N(R176))</f>
        <v/>
      </c>
      <c r="AD176" s="25" t="str">
        <f aca="false">IF(OR(AC176="",N(Z176)=0),"",AC176/Z176)</f>
        <v/>
      </c>
      <c r="AE176" s="25" t="str">
        <f aca="false">IF(OR(S176="",N(Z176)=0),"",IF($B176="Short",-1,1)*(S176-H176)*G176/Z176)</f>
        <v/>
      </c>
      <c r="AF176" s="25" t="str">
        <f aca="false">IF(OR(T176="",N(Z176)=0),"",IF($B176="Short",-1,1)*(T176-H176)*G176/Z176)</f>
        <v/>
      </c>
      <c r="AG176" s="21" t="str">
        <f aca="false">IF(U176&lt;&gt;"Open","",Y176*MAX(0,IF($B176="Short",-1,1)*(H176-IF(K176="",I176,K176))))</f>
        <v/>
      </c>
      <c r="AH176" s="26" t="str">
        <f aca="false">IF(U176&lt;&gt;"Closed","",DATE(YEAR(P176),MONTH(P176),1))</f>
        <v/>
      </c>
      <c r="AI176" s="19" t="str">
        <f aca="false">IF(U176&lt;&gt;"Closed","",COUNTIFS($U$7:$U$506,"Closed",$P$7:$P$506,"&lt;"&amp;P176)+COUNTIFS($U$7:U176,"Closed",$P$7:P176,P176))</f>
        <v/>
      </c>
    </row>
    <row r="177" customFormat="false" ht="15" hidden="false" customHeight="false" outlineLevel="0" collapsed="false">
      <c r="A177" s="13"/>
      <c r="B177" s="14"/>
      <c r="C177" s="14"/>
      <c r="D177" s="14"/>
      <c r="E177" s="15"/>
      <c r="F177" s="15"/>
      <c r="G177" s="16"/>
      <c r="H177" s="17"/>
      <c r="I177" s="17"/>
      <c r="J177" s="17"/>
      <c r="K177" s="17"/>
      <c r="L177" s="16"/>
      <c r="M177" s="17"/>
      <c r="N177" s="16"/>
      <c r="O177" s="17"/>
      <c r="P177" s="15"/>
      <c r="Q177" s="17"/>
      <c r="R177" s="17"/>
      <c r="S177" s="17"/>
      <c r="T177" s="17"/>
      <c r="U177" s="18" t="str">
        <f aca="false">IF(A177="","",IF(N(G177)-N(L177)-N(N177)&lt;0,"Check shares",IF(AND(P177&lt;&gt;"",Q177&lt;&gt;""),"Closed","Open")))</f>
        <v/>
      </c>
      <c r="V177" s="19" t="str">
        <f aca="false">IF(OR(F177="",P177=""),"",NETWORKDAYS(F177,P177,Lists!$F$5:$F$40)-1)</f>
        <v/>
      </c>
      <c r="W177" s="18" t="str">
        <f aca="false">IF(V177="","",IF(V177=0,"Same day","Overnight"))</f>
        <v/>
      </c>
      <c r="X177" s="18" t="str">
        <f aca="false">IF(OR(E177="",F177=""),"",IF(AND(E177&gt;=F177,OR(P177="",E177&lt;=P177)),"Yes","No"))</f>
        <v/>
      </c>
      <c r="Y177" s="20" t="str">
        <f aca="false">IF(A177="","",N(G177)-N(L177)-N(N177))</f>
        <v/>
      </c>
      <c r="Z177" s="21" t="str">
        <f aca="false">IF(OR(G177="",H177="",I177=""),"",ABS(H177-I177)*G177)</f>
        <v/>
      </c>
      <c r="AA177" s="22" t="str">
        <f aca="false">IF(OR(J177="",N(Z177)=0),"",ABS(J177-H177)/ABS(H177-I177))</f>
        <v/>
      </c>
      <c r="AB177" s="23" t="str">
        <f aca="false">IF(U177&lt;&gt;"Closed","",(N(L177)*N(M177)+N(N177)*N(O177)+Y177*Q177)/G177)</f>
        <v/>
      </c>
      <c r="AC177" s="24" t="str">
        <f aca="false">IF(U177&lt;&gt;"Closed","",IF($B177="Short",-1,1)*((N(M177)-H177)*N(L177)+(N(O177)-H177)*N(N177)+(Q177-H177)*Y177)-N(R177))</f>
        <v/>
      </c>
      <c r="AD177" s="25" t="str">
        <f aca="false">IF(OR(AC177="",N(Z177)=0),"",AC177/Z177)</f>
        <v/>
      </c>
      <c r="AE177" s="25" t="str">
        <f aca="false">IF(OR(S177="",N(Z177)=0),"",IF($B177="Short",-1,1)*(S177-H177)*G177/Z177)</f>
        <v/>
      </c>
      <c r="AF177" s="25" t="str">
        <f aca="false">IF(OR(T177="",N(Z177)=0),"",IF($B177="Short",-1,1)*(T177-H177)*G177/Z177)</f>
        <v/>
      </c>
      <c r="AG177" s="21" t="str">
        <f aca="false">IF(U177&lt;&gt;"Open","",Y177*MAX(0,IF($B177="Short",-1,1)*(H177-IF(K177="",I177,K177))))</f>
        <v/>
      </c>
      <c r="AH177" s="26" t="str">
        <f aca="false">IF(U177&lt;&gt;"Closed","",DATE(YEAR(P177),MONTH(P177),1))</f>
        <v/>
      </c>
      <c r="AI177" s="19" t="str">
        <f aca="false">IF(U177&lt;&gt;"Closed","",COUNTIFS($U$7:$U$506,"Closed",$P$7:$P$506,"&lt;"&amp;P177)+COUNTIFS($U$7:U177,"Closed",$P$7:P177,P177))</f>
        <v/>
      </c>
    </row>
    <row r="178" customFormat="false" ht="15" hidden="false" customHeight="false" outlineLevel="0" collapsed="false">
      <c r="A178" s="13"/>
      <c r="B178" s="14"/>
      <c r="C178" s="14"/>
      <c r="D178" s="14"/>
      <c r="E178" s="15"/>
      <c r="F178" s="15"/>
      <c r="G178" s="16"/>
      <c r="H178" s="17"/>
      <c r="I178" s="17"/>
      <c r="J178" s="17"/>
      <c r="K178" s="17"/>
      <c r="L178" s="16"/>
      <c r="M178" s="17"/>
      <c r="N178" s="16"/>
      <c r="O178" s="17"/>
      <c r="P178" s="15"/>
      <c r="Q178" s="17"/>
      <c r="R178" s="17"/>
      <c r="S178" s="17"/>
      <c r="T178" s="17"/>
      <c r="U178" s="18" t="str">
        <f aca="false">IF(A178="","",IF(N(G178)-N(L178)-N(N178)&lt;0,"Check shares",IF(AND(P178&lt;&gt;"",Q178&lt;&gt;""),"Closed","Open")))</f>
        <v/>
      </c>
      <c r="V178" s="19" t="str">
        <f aca="false">IF(OR(F178="",P178=""),"",NETWORKDAYS(F178,P178,Lists!$F$5:$F$40)-1)</f>
        <v/>
      </c>
      <c r="W178" s="18" t="str">
        <f aca="false">IF(V178="","",IF(V178=0,"Same day","Overnight"))</f>
        <v/>
      </c>
      <c r="X178" s="18" t="str">
        <f aca="false">IF(OR(E178="",F178=""),"",IF(AND(E178&gt;=F178,OR(P178="",E178&lt;=P178)),"Yes","No"))</f>
        <v/>
      </c>
      <c r="Y178" s="20" t="str">
        <f aca="false">IF(A178="","",N(G178)-N(L178)-N(N178))</f>
        <v/>
      </c>
      <c r="Z178" s="21" t="str">
        <f aca="false">IF(OR(G178="",H178="",I178=""),"",ABS(H178-I178)*G178)</f>
        <v/>
      </c>
      <c r="AA178" s="22" t="str">
        <f aca="false">IF(OR(J178="",N(Z178)=0),"",ABS(J178-H178)/ABS(H178-I178))</f>
        <v/>
      </c>
      <c r="AB178" s="23" t="str">
        <f aca="false">IF(U178&lt;&gt;"Closed","",(N(L178)*N(M178)+N(N178)*N(O178)+Y178*Q178)/G178)</f>
        <v/>
      </c>
      <c r="AC178" s="24" t="str">
        <f aca="false">IF(U178&lt;&gt;"Closed","",IF($B178="Short",-1,1)*((N(M178)-H178)*N(L178)+(N(O178)-H178)*N(N178)+(Q178-H178)*Y178)-N(R178))</f>
        <v/>
      </c>
      <c r="AD178" s="25" t="str">
        <f aca="false">IF(OR(AC178="",N(Z178)=0),"",AC178/Z178)</f>
        <v/>
      </c>
      <c r="AE178" s="25" t="str">
        <f aca="false">IF(OR(S178="",N(Z178)=0),"",IF($B178="Short",-1,1)*(S178-H178)*G178/Z178)</f>
        <v/>
      </c>
      <c r="AF178" s="25" t="str">
        <f aca="false">IF(OR(T178="",N(Z178)=0),"",IF($B178="Short",-1,1)*(T178-H178)*G178/Z178)</f>
        <v/>
      </c>
      <c r="AG178" s="21" t="str">
        <f aca="false">IF(U178&lt;&gt;"Open","",Y178*MAX(0,IF($B178="Short",-1,1)*(H178-IF(K178="",I178,K178))))</f>
        <v/>
      </c>
      <c r="AH178" s="26" t="str">
        <f aca="false">IF(U178&lt;&gt;"Closed","",DATE(YEAR(P178),MONTH(P178),1))</f>
        <v/>
      </c>
      <c r="AI178" s="19" t="str">
        <f aca="false">IF(U178&lt;&gt;"Closed","",COUNTIFS($U$7:$U$506,"Closed",$P$7:$P$506,"&lt;"&amp;P178)+COUNTIFS($U$7:U178,"Closed",$P$7:P178,P178))</f>
        <v/>
      </c>
    </row>
    <row r="179" customFormat="false" ht="15" hidden="false" customHeight="false" outlineLevel="0" collapsed="false">
      <c r="A179" s="13"/>
      <c r="B179" s="14"/>
      <c r="C179" s="14"/>
      <c r="D179" s="14"/>
      <c r="E179" s="15"/>
      <c r="F179" s="15"/>
      <c r="G179" s="16"/>
      <c r="H179" s="17"/>
      <c r="I179" s="17"/>
      <c r="J179" s="17"/>
      <c r="K179" s="17"/>
      <c r="L179" s="16"/>
      <c r="M179" s="17"/>
      <c r="N179" s="16"/>
      <c r="O179" s="17"/>
      <c r="P179" s="15"/>
      <c r="Q179" s="17"/>
      <c r="R179" s="17"/>
      <c r="S179" s="17"/>
      <c r="T179" s="17"/>
      <c r="U179" s="18" t="str">
        <f aca="false">IF(A179="","",IF(N(G179)-N(L179)-N(N179)&lt;0,"Check shares",IF(AND(P179&lt;&gt;"",Q179&lt;&gt;""),"Closed","Open")))</f>
        <v/>
      </c>
      <c r="V179" s="19" t="str">
        <f aca="false">IF(OR(F179="",P179=""),"",NETWORKDAYS(F179,P179,Lists!$F$5:$F$40)-1)</f>
        <v/>
      </c>
      <c r="W179" s="18" t="str">
        <f aca="false">IF(V179="","",IF(V179=0,"Same day","Overnight"))</f>
        <v/>
      </c>
      <c r="X179" s="18" t="str">
        <f aca="false">IF(OR(E179="",F179=""),"",IF(AND(E179&gt;=F179,OR(P179="",E179&lt;=P179)),"Yes","No"))</f>
        <v/>
      </c>
      <c r="Y179" s="20" t="str">
        <f aca="false">IF(A179="","",N(G179)-N(L179)-N(N179))</f>
        <v/>
      </c>
      <c r="Z179" s="21" t="str">
        <f aca="false">IF(OR(G179="",H179="",I179=""),"",ABS(H179-I179)*G179)</f>
        <v/>
      </c>
      <c r="AA179" s="22" t="str">
        <f aca="false">IF(OR(J179="",N(Z179)=0),"",ABS(J179-H179)/ABS(H179-I179))</f>
        <v/>
      </c>
      <c r="AB179" s="23" t="str">
        <f aca="false">IF(U179&lt;&gt;"Closed","",(N(L179)*N(M179)+N(N179)*N(O179)+Y179*Q179)/G179)</f>
        <v/>
      </c>
      <c r="AC179" s="24" t="str">
        <f aca="false">IF(U179&lt;&gt;"Closed","",IF($B179="Short",-1,1)*((N(M179)-H179)*N(L179)+(N(O179)-H179)*N(N179)+(Q179-H179)*Y179)-N(R179))</f>
        <v/>
      </c>
      <c r="AD179" s="25" t="str">
        <f aca="false">IF(OR(AC179="",N(Z179)=0),"",AC179/Z179)</f>
        <v/>
      </c>
      <c r="AE179" s="25" t="str">
        <f aca="false">IF(OR(S179="",N(Z179)=0),"",IF($B179="Short",-1,1)*(S179-H179)*G179/Z179)</f>
        <v/>
      </c>
      <c r="AF179" s="25" t="str">
        <f aca="false">IF(OR(T179="",N(Z179)=0),"",IF($B179="Short",-1,1)*(T179-H179)*G179/Z179)</f>
        <v/>
      </c>
      <c r="AG179" s="21" t="str">
        <f aca="false">IF(U179&lt;&gt;"Open","",Y179*MAX(0,IF($B179="Short",-1,1)*(H179-IF(K179="",I179,K179))))</f>
        <v/>
      </c>
      <c r="AH179" s="26" t="str">
        <f aca="false">IF(U179&lt;&gt;"Closed","",DATE(YEAR(P179),MONTH(P179),1))</f>
        <v/>
      </c>
      <c r="AI179" s="19" t="str">
        <f aca="false">IF(U179&lt;&gt;"Closed","",COUNTIFS($U$7:$U$506,"Closed",$P$7:$P$506,"&lt;"&amp;P179)+COUNTIFS($U$7:U179,"Closed",$P$7:P179,P179))</f>
        <v/>
      </c>
    </row>
    <row r="180" customFormat="false" ht="15" hidden="false" customHeight="false" outlineLevel="0" collapsed="false">
      <c r="A180" s="13"/>
      <c r="B180" s="14"/>
      <c r="C180" s="14"/>
      <c r="D180" s="14"/>
      <c r="E180" s="15"/>
      <c r="F180" s="15"/>
      <c r="G180" s="16"/>
      <c r="H180" s="17"/>
      <c r="I180" s="17"/>
      <c r="J180" s="17"/>
      <c r="K180" s="17"/>
      <c r="L180" s="16"/>
      <c r="M180" s="17"/>
      <c r="N180" s="16"/>
      <c r="O180" s="17"/>
      <c r="P180" s="15"/>
      <c r="Q180" s="17"/>
      <c r="R180" s="17"/>
      <c r="S180" s="17"/>
      <c r="T180" s="17"/>
      <c r="U180" s="18" t="str">
        <f aca="false">IF(A180="","",IF(N(G180)-N(L180)-N(N180)&lt;0,"Check shares",IF(AND(P180&lt;&gt;"",Q180&lt;&gt;""),"Closed","Open")))</f>
        <v/>
      </c>
      <c r="V180" s="19" t="str">
        <f aca="false">IF(OR(F180="",P180=""),"",NETWORKDAYS(F180,P180,Lists!$F$5:$F$40)-1)</f>
        <v/>
      </c>
      <c r="W180" s="18" t="str">
        <f aca="false">IF(V180="","",IF(V180=0,"Same day","Overnight"))</f>
        <v/>
      </c>
      <c r="X180" s="18" t="str">
        <f aca="false">IF(OR(E180="",F180=""),"",IF(AND(E180&gt;=F180,OR(P180="",E180&lt;=P180)),"Yes","No"))</f>
        <v/>
      </c>
      <c r="Y180" s="20" t="str">
        <f aca="false">IF(A180="","",N(G180)-N(L180)-N(N180))</f>
        <v/>
      </c>
      <c r="Z180" s="21" t="str">
        <f aca="false">IF(OR(G180="",H180="",I180=""),"",ABS(H180-I180)*G180)</f>
        <v/>
      </c>
      <c r="AA180" s="22" t="str">
        <f aca="false">IF(OR(J180="",N(Z180)=0),"",ABS(J180-H180)/ABS(H180-I180))</f>
        <v/>
      </c>
      <c r="AB180" s="23" t="str">
        <f aca="false">IF(U180&lt;&gt;"Closed","",(N(L180)*N(M180)+N(N180)*N(O180)+Y180*Q180)/G180)</f>
        <v/>
      </c>
      <c r="AC180" s="24" t="str">
        <f aca="false">IF(U180&lt;&gt;"Closed","",IF($B180="Short",-1,1)*((N(M180)-H180)*N(L180)+(N(O180)-H180)*N(N180)+(Q180-H180)*Y180)-N(R180))</f>
        <v/>
      </c>
      <c r="AD180" s="25" t="str">
        <f aca="false">IF(OR(AC180="",N(Z180)=0),"",AC180/Z180)</f>
        <v/>
      </c>
      <c r="AE180" s="25" t="str">
        <f aca="false">IF(OR(S180="",N(Z180)=0),"",IF($B180="Short",-1,1)*(S180-H180)*G180/Z180)</f>
        <v/>
      </c>
      <c r="AF180" s="25" t="str">
        <f aca="false">IF(OR(T180="",N(Z180)=0),"",IF($B180="Short",-1,1)*(T180-H180)*G180/Z180)</f>
        <v/>
      </c>
      <c r="AG180" s="21" t="str">
        <f aca="false">IF(U180&lt;&gt;"Open","",Y180*MAX(0,IF($B180="Short",-1,1)*(H180-IF(K180="",I180,K180))))</f>
        <v/>
      </c>
      <c r="AH180" s="26" t="str">
        <f aca="false">IF(U180&lt;&gt;"Closed","",DATE(YEAR(P180),MONTH(P180),1))</f>
        <v/>
      </c>
      <c r="AI180" s="19" t="str">
        <f aca="false">IF(U180&lt;&gt;"Closed","",COUNTIFS($U$7:$U$506,"Closed",$P$7:$P$506,"&lt;"&amp;P180)+COUNTIFS($U$7:U180,"Closed",$P$7:P180,P180))</f>
        <v/>
      </c>
    </row>
    <row r="181" customFormat="false" ht="15" hidden="false" customHeight="false" outlineLevel="0" collapsed="false">
      <c r="A181" s="13"/>
      <c r="B181" s="14"/>
      <c r="C181" s="14"/>
      <c r="D181" s="14"/>
      <c r="E181" s="15"/>
      <c r="F181" s="15"/>
      <c r="G181" s="16"/>
      <c r="H181" s="17"/>
      <c r="I181" s="17"/>
      <c r="J181" s="17"/>
      <c r="K181" s="17"/>
      <c r="L181" s="16"/>
      <c r="M181" s="17"/>
      <c r="N181" s="16"/>
      <c r="O181" s="17"/>
      <c r="P181" s="15"/>
      <c r="Q181" s="17"/>
      <c r="R181" s="17"/>
      <c r="S181" s="17"/>
      <c r="T181" s="17"/>
      <c r="U181" s="18" t="str">
        <f aca="false">IF(A181="","",IF(N(G181)-N(L181)-N(N181)&lt;0,"Check shares",IF(AND(P181&lt;&gt;"",Q181&lt;&gt;""),"Closed","Open")))</f>
        <v/>
      </c>
      <c r="V181" s="19" t="str">
        <f aca="false">IF(OR(F181="",P181=""),"",NETWORKDAYS(F181,P181,Lists!$F$5:$F$40)-1)</f>
        <v/>
      </c>
      <c r="W181" s="18" t="str">
        <f aca="false">IF(V181="","",IF(V181=0,"Same day","Overnight"))</f>
        <v/>
      </c>
      <c r="X181" s="18" t="str">
        <f aca="false">IF(OR(E181="",F181=""),"",IF(AND(E181&gt;=F181,OR(P181="",E181&lt;=P181)),"Yes","No"))</f>
        <v/>
      </c>
      <c r="Y181" s="20" t="str">
        <f aca="false">IF(A181="","",N(G181)-N(L181)-N(N181))</f>
        <v/>
      </c>
      <c r="Z181" s="21" t="str">
        <f aca="false">IF(OR(G181="",H181="",I181=""),"",ABS(H181-I181)*G181)</f>
        <v/>
      </c>
      <c r="AA181" s="22" t="str">
        <f aca="false">IF(OR(J181="",N(Z181)=0),"",ABS(J181-H181)/ABS(H181-I181))</f>
        <v/>
      </c>
      <c r="AB181" s="23" t="str">
        <f aca="false">IF(U181&lt;&gt;"Closed","",(N(L181)*N(M181)+N(N181)*N(O181)+Y181*Q181)/G181)</f>
        <v/>
      </c>
      <c r="AC181" s="24" t="str">
        <f aca="false">IF(U181&lt;&gt;"Closed","",IF($B181="Short",-1,1)*((N(M181)-H181)*N(L181)+(N(O181)-H181)*N(N181)+(Q181-H181)*Y181)-N(R181))</f>
        <v/>
      </c>
      <c r="AD181" s="25" t="str">
        <f aca="false">IF(OR(AC181="",N(Z181)=0),"",AC181/Z181)</f>
        <v/>
      </c>
      <c r="AE181" s="25" t="str">
        <f aca="false">IF(OR(S181="",N(Z181)=0),"",IF($B181="Short",-1,1)*(S181-H181)*G181/Z181)</f>
        <v/>
      </c>
      <c r="AF181" s="25" t="str">
        <f aca="false">IF(OR(T181="",N(Z181)=0),"",IF($B181="Short",-1,1)*(T181-H181)*G181/Z181)</f>
        <v/>
      </c>
      <c r="AG181" s="21" t="str">
        <f aca="false">IF(U181&lt;&gt;"Open","",Y181*MAX(0,IF($B181="Short",-1,1)*(H181-IF(K181="",I181,K181))))</f>
        <v/>
      </c>
      <c r="AH181" s="26" t="str">
        <f aca="false">IF(U181&lt;&gt;"Closed","",DATE(YEAR(P181),MONTH(P181),1))</f>
        <v/>
      </c>
      <c r="AI181" s="19" t="str">
        <f aca="false">IF(U181&lt;&gt;"Closed","",COUNTIFS($U$7:$U$506,"Closed",$P$7:$P$506,"&lt;"&amp;P181)+COUNTIFS($U$7:U181,"Closed",$P$7:P181,P181))</f>
        <v/>
      </c>
    </row>
    <row r="182" customFormat="false" ht="15" hidden="false" customHeight="false" outlineLevel="0" collapsed="false">
      <c r="A182" s="13"/>
      <c r="B182" s="14"/>
      <c r="C182" s="14"/>
      <c r="D182" s="14"/>
      <c r="E182" s="15"/>
      <c r="F182" s="15"/>
      <c r="G182" s="16"/>
      <c r="H182" s="17"/>
      <c r="I182" s="17"/>
      <c r="J182" s="17"/>
      <c r="K182" s="17"/>
      <c r="L182" s="16"/>
      <c r="M182" s="17"/>
      <c r="N182" s="16"/>
      <c r="O182" s="17"/>
      <c r="P182" s="15"/>
      <c r="Q182" s="17"/>
      <c r="R182" s="17"/>
      <c r="S182" s="17"/>
      <c r="T182" s="17"/>
      <c r="U182" s="18" t="str">
        <f aca="false">IF(A182="","",IF(N(G182)-N(L182)-N(N182)&lt;0,"Check shares",IF(AND(P182&lt;&gt;"",Q182&lt;&gt;""),"Closed","Open")))</f>
        <v/>
      </c>
      <c r="V182" s="19" t="str">
        <f aca="false">IF(OR(F182="",P182=""),"",NETWORKDAYS(F182,P182,Lists!$F$5:$F$40)-1)</f>
        <v/>
      </c>
      <c r="W182" s="18" t="str">
        <f aca="false">IF(V182="","",IF(V182=0,"Same day","Overnight"))</f>
        <v/>
      </c>
      <c r="X182" s="18" t="str">
        <f aca="false">IF(OR(E182="",F182=""),"",IF(AND(E182&gt;=F182,OR(P182="",E182&lt;=P182)),"Yes","No"))</f>
        <v/>
      </c>
      <c r="Y182" s="20" t="str">
        <f aca="false">IF(A182="","",N(G182)-N(L182)-N(N182))</f>
        <v/>
      </c>
      <c r="Z182" s="21" t="str">
        <f aca="false">IF(OR(G182="",H182="",I182=""),"",ABS(H182-I182)*G182)</f>
        <v/>
      </c>
      <c r="AA182" s="22" t="str">
        <f aca="false">IF(OR(J182="",N(Z182)=0),"",ABS(J182-H182)/ABS(H182-I182))</f>
        <v/>
      </c>
      <c r="AB182" s="23" t="str">
        <f aca="false">IF(U182&lt;&gt;"Closed","",(N(L182)*N(M182)+N(N182)*N(O182)+Y182*Q182)/G182)</f>
        <v/>
      </c>
      <c r="AC182" s="24" t="str">
        <f aca="false">IF(U182&lt;&gt;"Closed","",IF($B182="Short",-1,1)*((N(M182)-H182)*N(L182)+(N(O182)-H182)*N(N182)+(Q182-H182)*Y182)-N(R182))</f>
        <v/>
      </c>
      <c r="AD182" s="25" t="str">
        <f aca="false">IF(OR(AC182="",N(Z182)=0),"",AC182/Z182)</f>
        <v/>
      </c>
      <c r="AE182" s="25" t="str">
        <f aca="false">IF(OR(S182="",N(Z182)=0),"",IF($B182="Short",-1,1)*(S182-H182)*G182/Z182)</f>
        <v/>
      </c>
      <c r="AF182" s="25" t="str">
        <f aca="false">IF(OR(T182="",N(Z182)=0),"",IF($B182="Short",-1,1)*(T182-H182)*G182/Z182)</f>
        <v/>
      </c>
      <c r="AG182" s="21" t="str">
        <f aca="false">IF(U182&lt;&gt;"Open","",Y182*MAX(0,IF($B182="Short",-1,1)*(H182-IF(K182="",I182,K182))))</f>
        <v/>
      </c>
      <c r="AH182" s="26" t="str">
        <f aca="false">IF(U182&lt;&gt;"Closed","",DATE(YEAR(P182),MONTH(P182),1))</f>
        <v/>
      </c>
      <c r="AI182" s="19" t="str">
        <f aca="false">IF(U182&lt;&gt;"Closed","",COUNTIFS($U$7:$U$506,"Closed",$P$7:$P$506,"&lt;"&amp;P182)+COUNTIFS($U$7:U182,"Closed",$P$7:P182,P182))</f>
        <v/>
      </c>
    </row>
    <row r="183" customFormat="false" ht="15" hidden="false" customHeight="false" outlineLevel="0" collapsed="false">
      <c r="A183" s="13"/>
      <c r="B183" s="14"/>
      <c r="C183" s="14"/>
      <c r="D183" s="14"/>
      <c r="E183" s="15"/>
      <c r="F183" s="15"/>
      <c r="G183" s="16"/>
      <c r="H183" s="17"/>
      <c r="I183" s="17"/>
      <c r="J183" s="17"/>
      <c r="K183" s="17"/>
      <c r="L183" s="16"/>
      <c r="M183" s="17"/>
      <c r="N183" s="16"/>
      <c r="O183" s="17"/>
      <c r="P183" s="15"/>
      <c r="Q183" s="17"/>
      <c r="R183" s="17"/>
      <c r="S183" s="17"/>
      <c r="T183" s="17"/>
      <c r="U183" s="18" t="str">
        <f aca="false">IF(A183="","",IF(N(G183)-N(L183)-N(N183)&lt;0,"Check shares",IF(AND(P183&lt;&gt;"",Q183&lt;&gt;""),"Closed","Open")))</f>
        <v/>
      </c>
      <c r="V183" s="19" t="str">
        <f aca="false">IF(OR(F183="",P183=""),"",NETWORKDAYS(F183,P183,Lists!$F$5:$F$40)-1)</f>
        <v/>
      </c>
      <c r="W183" s="18" t="str">
        <f aca="false">IF(V183="","",IF(V183=0,"Same day","Overnight"))</f>
        <v/>
      </c>
      <c r="X183" s="18" t="str">
        <f aca="false">IF(OR(E183="",F183=""),"",IF(AND(E183&gt;=F183,OR(P183="",E183&lt;=P183)),"Yes","No"))</f>
        <v/>
      </c>
      <c r="Y183" s="20" t="str">
        <f aca="false">IF(A183="","",N(G183)-N(L183)-N(N183))</f>
        <v/>
      </c>
      <c r="Z183" s="21" t="str">
        <f aca="false">IF(OR(G183="",H183="",I183=""),"",ABS(H183-I183)*G183)</f>
        <v/>
      </c>
      <c r="AA183" s="22" t="str">
        <f aca="false">IF(OR(J183="",N(Z183)=0),"",ABS(J183-H183)/ABS(H183-I183))</f>
        <v/>
      </c>
      <c r="AB183" s="23" t="str">
        <f aca="false">IF(U183&lt;&gt;"Closed","",(N(L183)*N(M183)+N(N183)*N(O183)+Y183*Q183)/G183)</f>
        <v/>
      </c>
      <c r="AC183" s="24" t="str">
        <f aca="false">IF(U183&lt;&gt;"Closed","",IF($B183="Short",-1,1)*((N(M183)-H183)*N(L183)+(N(O183)-H183)*N(N183)+(Q183-H183)*Y183)-N(R183))</f>
        <v/>
      </c>
      <c r="AD183" s="25" t="str">
        <f aca="false">IF(OR(AC183="",N(Z183)=0),"",AC183/Z183)</f>
        <v/>
      </c>
      <c r="AE183" s="25" t="str">
        <f aca="false">IF(OR(S183="",N(Z183)=0),"",IF($B183="Short",-1,1)*(S183-H183)*G183/Z183)</f>
        <v/>
      </c>
      <c r="AF183" s="25" t="str">
        <f aca="false">IF(OR(T183="",N(Z183)=0),"",IF($B183="Short",-1,1)*(T183-H183)*G183/Z183)</f>
        <v/>
      </c>
      <c r="AG183" s="21" t="str">
        <f aca="false">IF(U183&lt;&gt;"Open","",Y183*MAX(0,IF($B183="Short",-1,1)*(H183-IF(K183="",I183,K183))))</f>
        <v/>
      </c>
      <c r="AH183" s="26" t="str">
        <f aca="false">IF(U183&lt;&gt;"Closed","",DATE(YEAR(P183),MONTH(P183),1))</f>
        <v/>
      </c>
      <c r="AI183" s="19" t="str">
        <f aca="false">IF(U183&lt;&gt;"Closed","",COUNTIFS($U$7:$U$506,"Closed",$P$7:$P$506,"&lt;"&amp;P183)+COUNTIFS($U$7:U183,"Closed",$P$7:P183,P183))</f>
        <v/>
      </c>
    </row>
    <row r="184" customFormat="false" ht="15" hidden="false" customHeight="false" outlineLevel="0" collapsed="false">
      <c r="A184" s="13"/>
      <c r="B184" s="14"/>
      <c r="C184" s="14"/>
      <c r="D184" s="14"/>
      <c r="E184" s="15"/>
      <c r="F184" s="15"/>
      <c r="G184" s="16"/>
      <c r="H184" s="17"/>
      <c r="I184" s="17"/>
      <c r="J184" s="17"/>
      <c r="K184" s="17"/>
      <c r="L184" s="16"/>
      <c r="M184" s="17"/>
      <c r="N184" s="16"/>
      <c r="O184" s="17"/>
      <c r="P184" s="15"/>
      <c r="Q184" s="17"/>
      <c r="R184" s="17"/>
      <c r="S184" s="17"/>
      <c r="T184" s="17"/>
      <c r="U184" s="18" t="str">
        <f aca="false">IF(A184="","",IF(N(G184)-N(L184)-N(N184)&lt;0,"Check shares",IF(AND(P184&lt;&gt;"",Q184&lt;&gt;""),"Closed","Open")))</f>
        <v/>
      </c>
      <c r="V184" s="19" t="str">
        <f aca="false">IF(OR(F184="",P184=""),"",NETWORKDAYS(F184,P184,Lists!$F$5:$F$40)-1)</f>
        <v/>
      </c>
      <c r="W184" s="18" t="str">
        <f aca="false">IF(V184="","",IF(V184=0,"Same day","Overnight"))</f>
        <v/>
      </c>
      <c r="X184" s="18" t="str">
        <f aca="false">IF(OR(E184="",F184=""),"",IF(AND(E184&gt;=F184,OR(P184="",E184&lt;=P184)),"Yes","No"))</f>
        <v/>
      </c>
      <c r="Y184" s="20" t="str">
        <f aca="false">IF(A184="","",N(G184)-N(L184)-N(N184))</f>
        <v/>
      </c>
      <c r="Z184" s="21" t="str">
        <f aca="false">IF(OR(G184="",H184="",I184=""),"",ABS(H184-I184)*G184)</f>
        <v/>
      </c>
      <c r="AA184" s="22" t="str">
        <f aca="false">IF(OR(J184="",N(Z184)=0),"",ABS(J184-H184)/ABS(H184-I184))</f>
        <v/>
      </c>
      <c r="AB184" s="23" t="str">
        <f aca="false">IF(U184&lt;&gt;"Closed","",(N(L184)*N(M184)+N(N184)*N(O184)+Y184*Q184)/G184)</f>
        <v/>
      </c>
      <c r="AC184" s="24" t="str">
        <f aca="false">IF(U184&lt;&gt;"Closed","",IF($B184="Short",-1,1)*((N(M184)-H184)*N(L184)+(N(O184)-H184)*N(N184)+(Q184-H184)*Y184)-N(R184))</f>
        <v/>
      </c>
      <c r="AD184" s="25" t="str">
        <f aca="false">IF(OR(AC184="",N(Z184)=0),"",AC184/Z184)</f>
        <v/>
      </c>
      <c r="AE184" s="25" t="str">
        <f aca="false">IF(OR(S184="",N(Z184)=0),"",IF($B184="Short",-1,1)*(S184-H184)*G184/Z184)</f>
        <v/>
      </c>
      <c r="AF184" s="25" t="str">
        <f aca="false">IF(OR(T184="",N(Z184)=0),"",IF($B184="Short",-1,1)*(T184-H184)*G184/Z184)</f>
        <v/>
      </c>
      <c r="AG184" s="21" t="str">
        <f aca="false">IF(U184&lt;&gt;"Open","",Y184*MAX(0,IF($B184="Short",-1,1)*(H184-IF(K184="",I184,K184))))</f>
        <v/>
      </c>
      <c r="AH184" s="26" t="str">
        <f aca="false">IF(U184&lt;&gt;"Closed","",DATE(YEAR(P184),MONTH(P184),1))</f>
        <v/>
      </c>
      <c r="AI184" s="19" t="str">
        <f aca="false">IF(U184&lt;&gt;"Closed","",COUNTIFS($U$7:$U$506,"Closed",$P$7:$P$506,"&lt;"&amp;P184)+COUNTIFS($U$7:U184,"Closed",$P$7:P184,P184))</f>
        <v/>
      </c>
    </row>
    <row r="185" customFormat="false" ht="15" hidden="false" customHeight="false" outlineLevel="0" collapsed="false">
      <c r="A185" s="13"/>
      <c r="B185" s="14"/>
      <c r="C185" s="14"/>
      <c r="D185" s="14"/>
      <c r="E185" s="15"/>
      <c r="F185" s="15"/>
      <c r="G185" s="16"/>
      <c r="H185" s="17"/>
      <c r="I185" s="17"/>
      <c r="J185" s="17"/>
      <c r="K185" s="17"/>
      <c r="L185" s="16"/>
      <c r="M185" s="17"/>
      <c r="N185" s="16"/>
      <c r="O185" s="17"/>
      <c r="P185" s="15"/>
      <c r="Q185" s="17"/>
      <c r="R185" s="17"/>
      <c r="S185" s="17"/>
      <c r="T185" s="17"/>
      <c r="U185" s="18" t="str">
        <f aca="false">IF(A185="","",IF(N(G185)-N(L185)-N(N185)&lt;0,"Check shares",IF(AND(P185&lt;&gt;"",Q185&lt;&gt;""),"Closed","Open")))</f>
        <v/>
      </c>
      <c r="V185" s="19" t="str">
        <f aca="false">IF(OR(F185="",P185=""),"",NETWORKDAYS(F185,P185,Lists!$F$5:$F$40)-1)</f>
        <v/>
      </c>
      <c r="W185" s="18" t="str">
        <f aca="false">IF(V185="","",IF(V185=0,"Same day","Overnight"))</f>
        <v/>
      </c>
      <c r="X185" s="18" t="str">
        <f aca="false">IF(OR(E185="",F185=""),"",IF(AND(E185&gt;=F185,OR(P185="",E185&lt;=P185)),"Yes","No"))</f>
        <v/>
      </c>
      <c r="Y185" s="20" t="str">
        <f aca="false">IF(A185="","",N(G185)-N(L185)-N(N185))</f>
        <v/>
      </c>
      <c r="Z185" s="21" t="str">
        <f aca="false">IF(OR(G185="",H185="",I185=""),"",ABS(H185-I185)*G185)</f>
        <v/>
      </c>
      <c r="AA185" s="22" t="str">
        <f aca="false">IF(OR(J185="",N(Z185)=0),"",ABS(J185-H185)/ABS(H185-I185))</f>
        <v/>
      </c>
      <c r="AB185" s="23" t="str">
        <f aca="false">IF(U185&lt;&gt;"Closed","",(N(L185)*N(M185)+N(N185)*N(O185)+Y185*Q185)/G185)</f>
        <v/>
      </c>
      <c r="AC185" s="24" t="str">
        <f aca="false">IF(U185&lt;&gt;"Closed","",IF($B185="Short",-1,1)*((N(M185)-H185)*N(L185)+(N(O185)-H185)*N(N185)+(Q185-H185)*Y185)-N(R185))</f>
        <v/>
      </c>
      <c r="AD185" s="25" t="str">
        <f aca="false">IF(OR(AC185="",N(Z185)=0),"",AC185/Z185)</f>
        <v/>
      </c>
      <c r="AE185" s="25" t="str">
        <f aca="false">IF(OR(S185="",N(Z185)=0),"",IF($B185="Short",-1,1)*(S185-H185)*G185/Z185)</f>
        <v/>
      </c>
      <c r="AF185" s="25" t="str">
        <f aca="false">IF(OR(T185="",N(Z185)=0),"",IF($B185="Short",-1,1)*(T185-H185)*G185/Z185)</f>
        <v/>
      </c>
      <c r="AG185" s="21" t="str">
        <f aca="false">IF(U185&lt;&gt;"Open","",Y185*MAX(0,IF($B185="Short",-1,1)*(H185-IF(K185="",I185,K185))))</f>
        <v/>
      </c>
      <c r="AH185" s="26" t="str">
        <f aca="false">IF(U185&lt;&gt;"Closed","",DATE(YEAR(P185),MONTH(P185),1))</f>
        <v/>
      </c>
      <c r="AI185" s="19" t="str">
        <f aca="false">IF(U185&lt;&gt;"Closed","",COUNTIFS($U$7:$U$506,"Closed",$P$7:$P$506,"&lt;"&amp;P185)+COUNTIFS($U$7:U185,"Closed",$P$7:P185,P185))</f>
        <v/>
      </c>
    </row>
    <row r="186" customFormat="false" ht="15" hidden="false" customHeight="false" outlineLevel="0" collapsed="false">
      <c r="A186" s="13"/>
      <c r="B186" s="14"/>
      <c r="C186" s="14"/>
      <c r="D186" s="14"/>
      <c r="E186" s="15"/>
      <c r="F186" s="15"/>
      <c r="G186" s="16"/>
      <c r="H186" s="17"/>
      <c r="I186" s="17"/>
      <c r="J186" s="17"/>
      <c r="K186" s="17"/>
      <c r="L186" s="16"/>
      <c r="M186" s="17"/>
      <c r="N186" s="16"/>
      <c r="O186" s="17"/>
      <c r="P186" s="15"/>
      <c r="Q186" s="17"/>
      <c r="R186" s="17"/>
      <c r="S186" s="17"/>
      <c r="T186" s="17"/>
      <c r="U186" s="18" t="str">
        <f aca="false">IF(A186="","",IF(N(G186)-N(L186)-N(N186)&lt;0,"Check shares",IF(AND(P186&lt;&gt;"",Q186&lt;&gt;""),"Closed","Open")))</f>
        <v/>
      </c>
      <c r="V186" s="19" t="str">
        <f aca="false">IF(OR(F186="",P186=""),"",NETWORKDAYS(F186,P186,Lists!$F$5:$F$40)-1)</f>
        <v/>
      </c>
      <c r="W186" s="18" t="str">
        <f aca="false">IF(V186="","",IF(V186=0,"Same day","Overnight"))</f>
        <v/>
      </c>
      <c r="X186" s="18" t="str">
        <f aca="false">IF(OR(E186="",F186=""),"",IF(AND(E186&gt;=F186,OR(P186="",E186&lt;=P186)),"Yes","No"))</f>
        <v/>
      </c>
      <c r="Y186" s="20" t="str">
        <f aca="false">IF(A186="","",N(G186)-N(L186)-N(N186))</f>
        <v/>
      </c>
      <c r="Z186" s="21" t="str">
        <f aca="false">IF(OR(G186="",H186="",I186=""),"",ABS(H186-I186)*G186)</f>
        <v/>
      </c>
      <c r="AA186" s="22" t="str">
        <f aca="false">IF(OR(J186="",N(Z186)=0),"",ABS(J186-H186)/ABS(H186-I186))</f>
        <v/>
      </c>
      <c r="AB186" s="23" t="str">
        <f aca="false">IF(U186&lt;&gt;"Closed","",(N(L186)*N(M186)+N(N186)*N(O186)+Y186*Q186)/G186)</f>
        <v/>
      </c>
      <c r="AC186" s="24" t="str">
        <f aca="false">IF(U186&lt;&gt;"Closed","",IF($B186="Short",-1,1)*((N(M186)-H186)*N(L186)+(N(O186)-H186)*N(N186)+(Q186-H186)*Y186)-N(R186))</f>
        <v/>
      </c>
      <c r="AD186" s="25" t="str">
        <f aca="false">IF(OR(AC186="",N(Z186)=0),"",AC186/Z186)</f>
        <v/>
      </c>
      <c r="AE186" s="25" t="str">
        <f aca="false">IF(OR(S186="",N(Z186)=0),"",IF($B186="Short",-1,1)*(S186-H186)*G186/Z186)</f>
        <v/>
      </c>
      <c r="AF186" s="25" t="str">
        <f aca="false">IF(OR(T186="",N(Z186)=0),"",IF($B186="Short",-1,1)*(T186-H186)*G186/Z186)</f>
        <v/>
      </c>
      <c r="AG186" s="21" t="str">
        <f aca="false">IF(U186&lt;&gt;"Open","",Y186*MAX(0,IF($B186="Short",-1,1)*(H186-IF(K186="",I186,K186))))</f>
        <v/>
      </c>
      <c r="AH186" s="26" t="str">
        <f aca="false">IF(U186&lt;&gt;"Closed","",DATE(YEAR(P186),MONTH(P186),1))</f>
        <v/>
      </c>
      <c r="AI186" s="19" t="str">
        <f aca="false">IF(U186&lt;&gt;"Closed","",COUNTIFS($U$7:$U$506,"Closed",$P$7:$P$506,"&lt;"&amp;P186)+COUNTIFS($U$7:U186,"Closed",$P$7:P186,P186))</f>
        <v/>
      </c>
    </row>
    <row r="187" customFormat="false" ht="15" hidden="false" customHeight="false" outlineLevel="0" collapsed="false">
      <c r="A187" s="13"/>
      <c r="B187" s="14"/>
      <c r="C187" s="14"/>
      <c r="D187" s="14"/>
      <c r="E187" s="15"/>
      <c r="F187" s="15"/>
      <c r="G187" s="16"/>
      <c r="H187" s="17"/>
      <c r="I187" s="17"/>
      <c r="J187" s="17"/>
      <c r="K187" s="17"/>
      <c r="L187" s="16"/>
      <c r="M187" s="17"/>
      <c r="N187" s="16"/>
      <c r="O187" s="17"/>
      <c r="P187" s="15"/>
      <c r="Q187" s="17"/>
      <c r="R187" s="17"/>
      <c r="S187" s="17"/>
      <c r="T187" s="17"/>
      <c r="U187" s="18" t="str">
        <f aca="false">IF(A187="","",IF(N(G187)-N(L187)-N(N187)&lt;0,"Check shares",IF(AND(P187&lt;&gt;"",Q187&lt;&gt;""),"Closed","Open")))</f>
        <v/>
      </c>
      <c r="V187" s="19" t="str">
        <f aca="false">IF(OR(F187="",P187=""),"",NETWORKDAYS(F187,P187,Lists!$F$5:$F$40)-1)</f>
        <v/>
      </c>
      <c r="W187" s="18" t="str">
        <f aca="false">IF(V187="","",IF(V187=0,"Same day","Overnight"))</f>
        <v/>
      </c>
      <c r="X187" s="18" t="str">
        <f aca="false">IF(OR(E187="",F187=""),"",IF(AND(E187&gt;=F187,OR(P187="",E187&lt;=P187)),"Yes","No"))</f>
        <v/>
      </c>
      <c r="Y187" s="20" t="str">
        <f aca="false">IF(A187="","",N(G187)-N(L187)-N(N187))</f>
        <v/>
      </c>
      <c r="Z187" s="21" t="str">
        <f aca="false">IF(OR(G187="",H187="",I187=""),"",ABS(H187-I187)*G187)</f>
        <v/>
      </c>
      <c r="AA187" s="22" t="str">
        <f aca="false">IF(OR(J187="",N(Z187)=0),"",ABS(J187-H187)/ABS(H187-I187))</f>
        <v/>
      </c>
      <c r="AB187" s="23" t="str">
        <f aca="false">IF(U187&lt;&gt;"Closed","",(N(L187)*N(M187)+N(N187)*N(O187)+Y187*Q187)/G187)</f>
        <v/>
      </c>
      <c r="AC187" s="24" t="str">
        <f aca="false">IF(U187&lt;&gt;"Closed","",IF($B187="Short",-1,1)*((N(M187)-H187)*N(L187)+(N(O187)-H187)*N(N187)+(Q187-H187)*Y187)-N(R187))</f>
        <v/>
      </c>
      <c r="AD187" s="25" t="str">
        <f aca="false">IF(OR(AC187="",N(Z187)=0),"",AC187/Z187)</f>
        <v/>
      </c>
      <c r="AE187" s="25" t="str">
        <f aca="false">IF(OR(S187="",N(Z187)=0),"",IF($B187="Short",-1,1)*(S187-H187)*G187/Z187)</f>
        <v/>
      </c>
      <c r="AF187" s="25" t="str">
        <f aca="false">IF(OR(T187="",N(Z187)=0),"",IF($B187="Short",-1,1)*(T187-H187)*G187/Z187)</f>
        <v/>
      </c>
      <c r="AG187" s="21" t="str">
        <f aca="false">IF(U187&lt;&gt;"Open","",Y187*MAX(0,IF($B187="Short",-1,1)*(H187-IF(K187="",I187,K187))))</f>
        <v/>
      </c>
      <c r="AH187" s="26" t="str">
        <f aca="false">IF(U187&lt;&gt;"Closed","",DATE(YEAR(P187),MONTH(P187),1))</f>
        <v/>
      </c>
      <c r="AI187" s="19" t="str">
        <f aca="false">IF(U187&lt;&gt;"Closed","",COUNTIFS($U$7:$U$506,"Closed",$P$7:$P$506,"&lt;"&amp;P187)+COUNTIFS($U$7:U187,"Closed",$P$7:P187,P187))</f>
        <v/>
      </c>
    </row>
    <row r="188" customFormat="false" ht="15" hidden="false" customHeight="false" outlineLevel="0" collapsed="false">
      <c r="A188" s="13"/>
      <c r="B188" s="14"/>
      <c r="C188" s="14"/>
      <c r="D188" s="14"/>
      <c r="E188" s="15"/>
      <c r="F188" s="15"/>
      <c r="G188" s="16"/>
      <c r="H188" s="17"/>
      <c r="I188" s="17"/>
      <c r="J188" s="17"/>
      <c r="K188" s="17"/>
      <c r="L188" s="16"/>
      <c r="M188" s="17"/>
      <c r="N188" s="16"/>
      <c r="O188" s="17"/>
      <c r="P188" s="15"/>
      <c r="Q188" s="17"/>
      <c r="R188" s="17"/>
      <c r="S188" s="17"/>
      <c r="T188" s="17"/>
      <c r="U188" s="18" t="str">
        <f aca="false">IF(A188="","",IF(N(G188)-N(L188)-N(N188)&lt;0,"Check shares",IF(AND(P188&lt;&gt;"",Q188&lt;&gt;""),"Closed","Open")))</f>
        <v/>
      </c>
      <c r="V188" s="19" t="str">
        <f aca="false">IF(OR(F188="",P188=""),"",NETWORKDAYS(F188,P188,Lists!$F$5:$F$40)-1)</f>
        <v/>
      </c>
      <c r="W188" s="18" t="str">
        <f aca="false">IF(V188="","",IF(V188=0,"Same day","Overnight"))</f>
        <v/>
      </c>
      <c r="X188" s="18" t="str">
        <f aca="false">IF(OR(E188="",F188=""),"",IF(AND(E188&gt;=F188,OR(P188="",E188&lt;=P188)),"Yes","No"))</f>
        <v/>
      </c>
      <c r="Y188" s="20" t="str">
        <f aca="false">IF(A188="","",N(G188)-N(L188)-N(N188))</f>
        <v/>
      </c>
      <c r="Z188" s="21" t="str">
        <f aca="false">IF(OR(G188="",H188="",I188=""),"",ABS(H188-I188)*G188)</f>
        <v/>
      </c>
      <c r="AA188" s="22" t="str">
        <f aca="false">IF(OR(J188="",N(Z188)=0),"",ABS(J188-H188)/ABS(H188-I188))</f>
        <v/>
      </c>
      <c r="AB188" s="23" t="str">
        <f aca="false">IF(U188&lt;&gt;"Closed","",(N(L188)*N(M188)+N(N188)*N(O188)+Y188*Q188)/G188)</f>
        <v/>
      </c>
      <c r="AC188" s="24" t="str">
        <f aca="false">IF(U188&lt;&gt;"Closed","",IF($B188="Short",-1,1)*((N(M188)-H188)*N(L188)+(N(O188)-H188)*N(N188)+(Q188-H188)*Y188)-N(R188))</f>
        <v/>
      </c>
      <c r="AD188" s="25" t="str">
        <f aca="false">IF(OR(AC188="",N(Z188)=0),"",AC188/Z188)</f>
        <v/>
      </c>
      <c r="AE188" s="25" t="str">
        <f aca="false">IF(OR(S188="",N(Z188)=0),"",IF($B188="Short",-1,1)*(S188-H188)*G188/Z188)</f>
        <v/>
      </c>
      <c r="AF188" s="25" t="str">
        <f aca="false">IF(OR(T188="",N(Z188)=0),"",IF($B188="Short",-1,1)*(T188-H188)*G188/Z188)</f>
        <v/>
      </c>
      <c r="AG188" s="21" t="str">
        <f aca="false">IF(U188&lt;&gt;"Open","",Y188*MAX(0,IF($B188="Short",-1,1)*(H188-IF(K188="",I188,K188))))</f>
        <v/>
      </c>
      <c r="AH188" s="26" t="str">
        <f aca="false">IF(U188&lt;&gt;"Closed","",DATE(YEAR(P188),MONTH(P188),1))</f>
        <v/>
      </c>
      <c r="AI188" s="19" t="str">
        <f aca="false">IF(U188&lt;&gt;"Closed","",COUNTIFS($U$7:$U$506,"Closed",$P$7:$P$506,"&lt;"&amp;P188)+COUNTIFS($U$7:U188,"Closed",$P$7:P188,P188))</f>
        <v/>
      </c>
    </row>
    <row r="189" customFormat="false" ht="15" hidden="false" customHeight="false" outlineLevel="0" collapsed="false">
      <c r="A189" s="13"/>
      <c r="B189" s="14"/>
      <c r="C189" s="14"/>
      <c r="D189" s="14"/>
      <c r="E189" s="15"/>
      <c r="F189" s="15"/>
      <c r="G189" s="16"/>
      <c r="H189" s="17"/>
      <c r="I189" s="17"/>
      <c r="J189" s="17"/>
      <c r="K189" s="17"/>
      <c r="L189" s="16"/>
      <c r="M189" s="17"/>
      <c r="N189" s="16"/>
      <c r="O189" s="17"/>
      <c r="P189" s="15"/>
      <c r="Q189" s="17"/>
      <c r="R189" s="17"/>
      <c r="S189" s="17"/>
      <c r="T189" s="17"/>
      <c r="U189" s="18" t="str">
        <f aca="false">IF(A189="","",IF(N(G189)-N(L189)-N(N189)&lt;0,"Check shares",IF(AND(P189&lt;&gt;"",Q189&lt;&gt;""),"Closed","Open")))</f>
        <v/>
      </c>
      <c r="V189" s="19" t="str">
        <f aca="false">IF(OR(F189="",P189=""),"",NETWORKDAYS(F189,P189,Lists!$F$5:$F$40)-1)</f>
        <v/>
      </c>
      <c r="W189" s="18" t="str">
        <f aca="false">IF(V189="","",IF(V189=0,"Same day","Overnight"))</f>
        <v/>
      </c>
      <c r="X189" s="18" t="str">
        <f aca="false">IF(OR(E189="",F189=""),"",IF(AND(E189&gt;=F189,OR(P189="",E189&lt;=P189)),"Yes","No"))</f>
        <v/>
      </c>
      <c r="Y189" s="20" t="str">
        <f aca="false">IF(A189="","",N(G189)-N(L189)-N(N189))</f>
        <v/>
      </c>
      <c r="Z189" s="21" t="str">
        <f aca="false">IF(OR(G189="",H189="",I189=""),"",ABS(H189-I189)*G189)</f>
        <v/>
      </c>
      <c r="AA189" s="22" t="str">
        <f aca="false">IF(OR(J189="",N(Z189)=0),"",ABS(J189-H189)/ABS(H189-I189))</f>
        <v/>
      </c>
      <c r="AB189" s="23" t="str">
        <f aca="false">IF(U189&lt;&gt;"Closed","",(N(L189)*N(M189)+N(N189)*N(O189)+Y189*Q189)/G189)</f>
        <v/>
      </c>
      <c r="AC189" s="24" t="str">
        <f aca="false">IF(U189&lt;&gt;"Closed","",IF($B189="Short",-1,1)*((N(M189)-H189)*N(L189)+(N(O189)-H189)*N(N189)+(Q189-H189)*Y189)-N(R189))</f>
        <v/>
      </c>
      <c r="AD189" s="25" t="str">
        <f aca="false">IF(OR(AC189="",N(Z189)=0),"",AC189/Z189)</f>
        <v/>
      </c>
      <c r="AE189" s="25" t="str">
        <f aca="false">IF(OR(S189="",N(Z189)=0),"",IF($B189="Short",-1,1)*(S189-H189)*G189/Z189)</f>
        <v/>
      </c>
      <c r="AF189" s="25" t="str">
        <f aca="false">IF(OR(T189="",N(Z189)=0),"",IF($B189="Short",-1,1)*(T189-H189)*G189/Z189)</f>
        <v/>
      </c>
      <c r="AG189" s="21" t="str">
        <f aca="false">IF(U189&lt;&gt;"Open","",Y189*MAX(0,IF($B189="Short",-1,1)*(H189-IF(K189="",I189,K189))))</f>
        <v/>
      </c>
      <c r="AH189" s="26" t="str">
        <f aca="false">IF(U189&lt;&gt;"Closed","",DATE(YEAR(P189),MONTH(P189),1))</f>
        <v/>
      </c>
      <c r="AI189" s="19" t="str">
        <f aca="false">IF(U189&lt;&gt;"Closed","",COUNTIFS($U$7:$U$506,"Closed",$P$7:$P$506,"&lt;"&amp;P189)+COUNTIFS($U$7:U189,"Closed",$P$7:P189,P189))</f>
        <v/>
      </c>
    </row>
    <row r="190" customFormat="false" ht="15" hidden="false" customHeight="false" outlineLevel="0" collapsed="false">
      <c r="A190" s="13"/>
      <c r="B190" s="14"/>
      <c r="C190" s="14"/>
      <c r="D190" s="14"/>
      <c r="E190" s="15"/>
      <c r="F190" s="15"/>
      <c r="G190" s="16"/>
      <c r="H190" s="17"/>
      <c r="I190" s="17"/>
      <c r="J190" s="17"/>
      <c r="K190" s="17"/>
      <c r="L190" s="16"/>
      <c r="M190" s="17"/>
      <c r="N190" s="16"/>
      <c r="O190" s="17"/>
      <c r="P190" s="15"/>
      <c r="Q190" s="17"/>
      <c r="R190" s="17"/>
      <c r="S190" s="17"/>
      <c r="T190" s="17"/>
      <c r="U190" s="18" t="str">
        <f aca="false">IF(A190="","",IF(N(G190)-N(L190)-N(N190)&lt;0,"Check shares",IF(AND(P190&lt;&gt;"",Q190&lt;&gt;""),"Closed","Open")))</f>
        <v/>
      </c>
      <c r="V190" s="19" t="str">
        <f aca="false">IF(OR(F190="",P190=""),"",NETWORKDAYS(F190,P190,Lists!$F$5:$F$40)-1)</f>
        <v/>
      </c>
      <c r="W190" s="18" t="str">
        <f aca="false">IF(V190="","",IF(V190=0,"Same day","Overnight"))</f>
        <v/>
      </c>
      <c r="X190" s="18" t="str">
        <f aca="false">IF(OR(E190="",F190=""),"",IF(AND(E190&gt;=F190,OR(P190="",E190&lt;=P190)),"Yes","No"))</f>
        <v/>
      </c>
      <c r="Y190" s="20" t="str">
        <f aca="false">IF(A190="","",N(G190)-N(L190)-N(N190))</f>
        <v/>
      </c>
      <c r="Z190" s="21" t="str">
        <f aca="false">IF(OR(G190="",H190="",I190=""),"",ABS(H190-I190)*G190)</f>
        <v/>
      </c>
      <c r="AA190" s="22" t="str">
        <f aca="false">IF(OR(J190="",N(Z190)=0),"",ABS(J190-H190)/ABS(H190-I190))</f>
        <v/>
      </c>
      <c r="AB190" s="23" t="str">
        <f aca="false">IF(U190&lt;&gt;"Closed","",(N(L190)*N(M190)+N(N190)*N(O190)+Y190*Q190)/G190)</f>
        <v/>
      </c>
      <c r="AC190" s="24" t="str">
        <f aca="false">IF(U190&lt;&gt;"Closed","",IF($B190="Short",-1,1)*((N(M190)-H190)*N(L190)+(N(O190)-H190)*N(N190)+(Q190-H190)*Y190)-N(R190))</f>
        <v/>
      </c>
      <c r="AD190" s="25" t="str">
        <f aca="false">IF(OR(AC190="",N(Z190)=0),"",AC190/Z190)</f>
        <v/>
      </c>
      <c r="AE190" s="25" t="str">
        <f aca="false">IF(OR(S190="",N(Z190)=0),"",IF($B190="Short",-1,1)*(S190-H190)*G190/Z190)</f>
        <v/>
      </c>
      <c r="AF190" s="25" t="str">
        <f aca="false">IF(OR(T190="",N(Z190)=0),"",IF($B190="Short",-1,1)*(T190-H190)*G190/Z190)</f>
        <v/>
      </c>
      <c r="AG190" s="21" t="str">
        <f aca="false">IF(U190&lt;&gt;"Open","",Y190*MAX(0,IF($B190="Short",-1,1)*(H190-IF(K190="",I190,K190))))</f>
        <v/>
      </c>
      <c r="AH190" s="26" t="str">
        <f aca="false">IF(U190&lt;&gt;"Closed","",DATE(YEAR(P190),MONTH(P190),1))</f>
        <v/>
      </c>
      <c r="AI190" s="19" t="str">
        <f aca="false">IF(U190&lt;&gt;"Closed","",COUNTIFS($U$7:$U$506,"Closed",$P$7:$P$506,"&lt;"&amp;P190)+COUNTIFS($U$7:U190,"Closed",$P$7:P190,P190))</f>
        <v/>
      </c>
    </row>
    <row r="191" customFormat="false" ht="15" hidden="false" customHeight="false" outlineLevel="0" collapsed="false">
      <c r="A191" s="13"/>
      <c r="B191" s="14"/>
      <c r="C191" s="14"/>
      <c r="D191" s="14"/>
      <c r="E191" s="15"/>
      <c r="F191" s="15"/>
      <c r="G191" s="16"/>
      <c r="H191" s="17"/>
      <c r="I191" s="17"/>
      <c r="J191" s="17"/>
      <c r="K191" s="17"/>
      <c r="L191" s="16"/>
      <c r="M191" s="17"/>
      <c r="N191" s="16"/>
      <c r="O191" s="17"/>
      <c r="P191" s="15"/>
      <c r="Q191" s="17"/>
      <c r="R191" s="17"/>
      <c r="S191" s="17"/>
      <c r="T191" s="17"/>
      <c r="U191" s="18" t="str">
        <f aca="false">IF(A191="","",IF(N(G191)-N(L191)-N(N191)&lt;0,"Check shares",IF(AND(P191&lt;&gt;"",Q191&lt;&gt;""),"Closed","Open")))</f>
        <v/>
      </c>
      <c r="V191" s="19" t="str">
        <f aca="false">IF(OR(F191="",P191=""),"",NETWORKDAYS(F191,P191,Lists!$F$5:$F$40)-1)</f>
        <v/>
      </c>
      <c r="W191" s="18" t="str">
        <f aca="false">IF(V191="","",IF(V191=0,"Same day","Overnight"))</f>
        <v/>
      </c>
      <c r="X191" s="18" t="str">
        <f aca="false">IF(OR(E191="",F191=""),"",IF(AND(E191&gt;=F191,OR(P191="",E191&lt;=P191)),"Yes","No"))</f>
        <v/>
      </c>
      <c r="Y191" s="20" t="str">
        <f aca="false">IF(A191="","",N(G191)-N(L191)-N(N191))</f>
        <v/>
      </c>
      <c r="Z191" s="21" t="str">
        <f aca="false">IF(OR(G191="",H191="",I191=""),"",ABS(H191-I191)*G191)</f>
        <v/>
      </c>
      <c r="AA191" s="22" t="str">
        <f aca="false">IF(OR(J191="",N(Z191)=0),"",ABS(J191-H191)/ABS(H191-I191))</f>
        <v/>
      </c>
      <c r="AB191" s="23" t="str">
        <f aca="false">IF(U191&lt;&gt;"Closed","",(N(L191)*N(M191)+N(N191)*N(O191)+Y191*Q191)/G191)</f>
        <v/>
      </c>
      <c r="AC191" s="24" t="str">
        <f aca="false">IF(U191&lt;&gt;"Closed","",IF($B191="Short",-1,1)*((N(M191)-H191)*N(L191)+(N(O191)-H191)*N(N191)+(Q191-H191)*Y191)-N(R191))</f>
        <v/>
      </c>
      <c r="AD191" s="25" t="str">
        <f aca="false">IF(OR(AC191="",N(Z191)=0),"",AC191/Z191)</f>
        <v/>
      </c>
      <c r="AE191" s="25" t="str">
        <f aca="false">IF(OR(S191="",N(Z191)=0),"",IF($B191="Short",-1,1)*(S191-H191)*G191/Z191)</f>
        <v/>
      </c>
      <c r="AF191" s="25" t="str">
        <f aca="false">IF(OR(T191="",N(Z191)=0),"",IF($B191="Short",-1,1)*(T191-H191)*G191/Z191)</f>
        <v/>
      </c>
      <c r="AG191" s="21" t="str">
        <f aca="false">IF(U191&lt;&gt;"Open","",Y191*MAX(0,IF($B191="Short",-1,1)*(H191-IF(K191="",I191,K191))))</f>
        <v/>
      </c>
      <c r="AH191" s="26" t="str">
        <f aca="false">IF(U191&lt;&gt;"Closed","",DATE(YEAR(P191),MONTH(P191),1))</f>
        <v/>
      </c>
      <c r="AI191" s="19" t="str">
        <f aca="false">IF(U191&lt;&gt;"Closed","",COUNTIFS($U$7:$U$506,"Closed",$P$7:$P$506,"&lt;"&amp;P191)+COUNTIFS($U$7:U191,"Closed",$P$7:P191,P191))</f>
        <v/>
      </c>
    </row>
    <row r="192" customFormat="false" ht="15" hidden="false" customHeight="false" outlineLevel="0" collapsed="false">
      <c r="A192" s="13"/>
      <c r="B192" s="14"/>
      <c r="C192" s="14"/>
      <c r="D192" s="14"/>
      <c r="E192" s="15"/>
      <c r="F192" s="15"/>
      <c r="G192" s="16"/>
      <c r="H192" s="17"/>
      <c r="I192" s="17"/>
      <c r="J192" s="17"/>
      <c r="K192" s="17"/>
      <c r="L192" s="16"/>
      <c r="M192" s="17"/>
      <c r="N192" s="16"/>
      <c r="O192" s="17"/>
      <c r="P192" s="15"/>
      <c r="Q192" s="17"/>
      <c r="R192" s="17"/>
      <c r="S192" s="17"/>
      <c r="T192" s="17"/>
      <c r="U192" s="18" t="str">
        <f aca="false">IF(A192="","",IF(N(G192)-N(L192)-N(N192)&lt;0,"Check shares",IF(AND(P192&lt;&gt;"",Q192&lt;&gt;""),"Closed","Open")))</f>
        <v/>
      </c>
      <c r="V192" s="19" t="str">
        <f aca="false">IF(OR(F192="",P192=""),"",NETWORKDAYS(F192,P192,Lists!$F$5:$F$40)-1)</f>
        <v/>
      </c>
      <c r="W192" s="18" t="str">
        <f aca="false">IF(V192="","",IF(V192=0,"Same day","Overnight"))</f>
        <v/>
      </c>
      <c r="X192" s="18" t="str">
        <f aca="false">IF(OR(E192="",F192=""),"",IF(AND(E192&gt;=F192,OR(P192="",E192&lt;=P192)),"Yes","No"))</f>
        <v/>
      </c>
      <c r="Y192" s="20" t="str">
        <f aca="false">IF(A192="","",N(G192)-N(L192)-N(N192))</f>
        <v/>
      </c>
      <c r="Z192" s="21" t="str">
        <f aca="false">IF(OR(G192="",H192="",I192=""),"",ABS(H192-I192)*G192)</f>
        <v/>
      </c>
      <c r="AA192" s="22" t="str">
        <f aca="false">IF(OR(J192="",N(Z192)=0),"",ABS(J192-H192)/ABS(H192-I192))</f>
        <v/>
      </c>
      <c r="AB192" s="23" t="str">
        <f aca="false">IF(U192&lt;&gt;"Closed","",(N(L192)*N(M192)+N(N192)*N(O192)+Y192*Q192)/G192)</f>
        <v/>
      </c>
      <c r="AC192" s="24" t="str">
        <f aca="false">IF(U192&lt;&gt;"Closed","",IF($B192="Short",-1,1)*((N(M192)-H192)*N(L192)+(N(O192)-H192)*N(N192)+(Q192-H192)*Y192)-N(R192))</f>
        <v/>
      </c>
      <c r="AD192" s="25" t="str">
        <f aca="false">IF(OR(AC192="",N(Z192)=0),"",AC192/Z192)</f>
        <v/>
      </c>
      <c r="AE192" s="25" t="str">
        <f aca="false">IF(OR(S192="",N(Z192)=0),"",IF($B192="Short",-1,1)*(S192-H192)*G192/Z192)</f>
        <v/>
      </c>
      <c r="AF192" s="25" t="str">
        <f aca="false">IF(OR(T192="",N(Z192)=0),"",IF($B192="Short",-1,1)*(T192-H192)*G192/Z192)</f>
        <v/>
      </c>
      <c r="AG192" s="21" t="str">
        <f aca="false">IF(U192&lt;&gt;"Open","",Y192*MAX(0,IF($B192="Short",-1,1)*(H192-IF(K192="",I192,K192))))</f>
        <v/>
      </c>
      <c r="AH192" s="26" t="str">
        <f aca="false">IF(U192&lt;&gt;"Closed","",DATE(YEAR(P192),MONTH(P192),1))</f>
        <v/>
      </c>
      <c r="AI192" s="19" t="str">
        <f aca="false">IF(U192&lt;&gt;"Closed","",COUNTIFS($U$7:$U$506,"Closed",$P$7:$P$506,"&lt;"&amp;P192)+COUNTIFS($U$7:U192,"Closed",$P$7:P192,P192))</f>
        <v/>
      </c>
    </row>
    <row r="193" customFormat="false" ht="15" hidden="false" customHeight="false" outlineLevel="0" collapsed="false">
      <c r="A193" s="13"/>
      <c r="B193" s="14"/>
      <c r="C193" s="14"/>
      <c r="D193" s="14"/>
      <c r="E193" s="15"/>
      <c r="F193" s="15"/>
      <c r="G193" s="16"/>
      <c r="H193" s="17"/>
      <c r="I193" s="17"/>
      <c r="J193" s="17"/>
      <c r="K193" s="17"/>
      <c r="L193" s="16"/>
      <c r="M193" s="17"/>
      <c r="N193" s="16"/>
      <c r="O193" s="17"/>
      <c r="P193" s="15"/>
      <c r="Q193" s="17"/>
      <c r="R193" s="17"/>
      <c r="S193" s="17"/>
      <c r="T193" s="17"/>
      <c r="U193" s="18" t="str">
        <f aca="false">IF(A193="","",IF(N(G193)-N(L193)-N(N193)&lt;0,"Check shares",IF(AND(P193&lt;&gt;"",Q193&lt;&gt;""),"Closed","Open")))</f>
        <v/>
      </c>
      <c r="V193" s="19" t="str">
        <f aca="false">IF(OR(F193="",P193=""),"",NETWORKDAYS(F193,P193,Lists!$F$5:$F$40)-1)</f>
        <v/>
      </c>
      <c r="W193" s="18" t="str">
        <f aca="false">IF(V193="","",IF(V193=0,"Same day","Overnight"))</f>
        <v/>
      </c>
      <c r="X193" s="18" t="str">
        <f aca="false">IF(OR(E193="",F193=""),"",IF(AND(E193&gt;=F193,OR(P193="",E193&lt;=P193)),"Yes","No"))</f>
        <v/>
      </c>
      <c r="Y193" s="20" t="str">
        <f aca="false">IF(A193="","",N(G193)-N(L193)-N(N193))</f>
        <v/>
      </c>
      <c r="Z193" s="21" t="str">
        <f aca="false">IF(OR(G193="",H193="",I193=""),"",ABS(H193-I193)*G193)</f>
        <v/>
      </c>
      <c r="AA193" s="22" t="str">
        <f aca="false">IF(OR(J193="",N(Z193)=0),"",ABS(J193-H193)/ABS(H193-I193))</f>
        <v/>
      </c>
      <c r="AB193" s="23" t="str">
        <f aca="false">IF(U193&lt;&gt;"Closed","",(N(L193)*N(M193)+N(N193)*N(O193)+Y193*Q193)/G193)</f>
        <v/>
      </c>
      <c r="AC193" s="24" t="str">
        <f aca="false">IF(U193&lt;&gt;"Closed","",IF($B193="Short",-1,1)*((N(M193)-H193)*N(L193)+(N(O193)-H193)*N(N193)+(Q193-H193)*Y193)-N(R193))</f>
        <v/>
      </c>
      <c r="AD193" s="25" t="str">
        <f aca="false">IF(OR(AC193="",N(Z193)=0),"",AC193/Z193)</f>
        <v/>
      </c>
      <c r="AE193" s="25" t="str">
        <f aca="false">IF(OR(S193="",N(Z193)=0),"",IF($B193="Short",-1,1)*(S193-H193)*G193/Z193)</f>
        <v/>
      </c>
      <c r="AF193" s="25" t="str">
        <f aca="false">IF(OR(T193="",N(Z193)=0),"",IF($B193="Short",-1,1)*(T193-H193)*G193/Z193)</f>
        <v/>
      </c>
      <c r="AG193" s="21" t="str">
        <f aca="false">IF(U193&lt;&gt;"Open","",Y193*MAX(0,IF($B193="Short",-1,1)*(H193-IF(K193="",I193,K193))))</f>
        <v/>
      </c>
      <c r="AH193" s="26" t="str">
        <f aca="false">IF(U193&lt;&gt;"Closed","",DATE(YEAR(P193),MONTH(P193),1))</f>
        <v/>
      </c>
      <c r="AI193" s="19" t="str">
        <f aca="false">IF(U193&lt;&gt;"Closed","",COUNTIFS($U$7:$U$506,"Closed",$P$7:$P$506,"&lt;"&amp;P193)+COUNTIFS($U$7:U193,"Closed",$P$7:P193,P193))</f>
        <v/>
      </c>
    </row>
    <row r="194" customFormat="false" ht="15" hidden="false" customHeight="false" outlineLevel="0" collapsed="false">
      <c r="A194" s="13"/>
      <c r="B194" s="14"/>
      <c r="C194" s="14"/>
      <c r="D194" s="14"/>
      <c r="E194" s="15"/>
      <c r="F194" s="15"/>
      <c r="G194" s="16"/>
      <c r="H194" s="17"/>
      <c r="I194" s="17"/>
      <c r="J194" s="17"/>
      <c r="K194" s="17"/>
      <c r="L194" s="16"/>
      <c r="M194" s="17"/>
      <c r="N194" s="16"/>
      <c r="O194" s="17"/>
      <c r="P194" s="15"/>
      <c r="Q194" s="17"/>
      <c r="R194" s="17"/>
      <c r="S194" s="17"/>
      <c r="T194" s="17"/>
      <c r="U194" s="18" t="str">
        <f aca="false">IF(A194="","",IF(N(G194)-N(L194)-N(N194)&lt;0,"Check shares",IF(AND(P194&lt;&gt;"",Q194&lt;&gt;""),"Closed","Open")))</f>
        <v/>
      </c>
      <c r="V194" s="19" t="str">
        <f aca="false">IF(OR(F194="",P194=""),"",NETWORKDAYS(F194,P194,Lists!$F$5:$F$40)-1)</f>
        <v/>
      </c>
      <c r="W194" s="18" t="str">
        <f aca="false">IF(V194="","",IF(V194=0,"Same day","Overnight"))</f>
        <v/>
      </c>
      <c r="X194" s="18" t="str">
        <f aca="false">IF(OR(E194="",F194=""),"",IF(AND(E194&gt;=F194,OR(P194="",E194&lt;=P194)),"Yes","No"))</f>
        <v/>
      </c>
      <c r="Y194" s="20" t="str">
        <f aca="false">IF(A194="","",N(G194)-N(L194)-N(N194))</f>
        <v/>
      </c>
      <c r="Z194" s="21" t="str">
        <f aca="false">IF(OR(G194="",H194="",I194=""),"",ABS(H194-I194)*G194)</f>
        <v/>
      </c>
      <c r="AA194" s="22" t="str">
        <f aca="false">IF(OR(J194="",N(Z194)=0),"",ABS(J194-H194)/ABS(H194-I194))</f>
        <v/>
      </c>
      <c r="AB194" s="23" t="str">
        <f aca="false">IF(U194&lt;&gt;"Closed","",(N(L194)*N(M194)+N(N194)*N(O194)+Y194*Q194)/G194)</f>
        <v/>
      </c>
      <c r="AC194" s="24" t="str">
        <f aca="false">IF(U194&lt;&gt;"Closed","",IF($B194="Short",-1,1)*((N(M194)-H194)*N(L194)+(N(O194)-H194)*N(N194)+(Q194-H194)*Y194)-N(R194))</f>
        <v/>
      </c>
      <c r="AD194" s="25" t="str">
        <f aca="false">IF(OR(AC194="",N(Z194)=0),"",AC194/Z194)</f>
        <v/>
      </c>
      <c r="AE194" s="25" t="str">
        <f aca="false">IF(OR(S194="",N(Z194)=0),"",IF($B194="Short",-1,1)*(S194-H194)*G194/Z194)</f>
        <v/>
      </c>
      <c r="AF194" s="25" t="str">
        <f aca="false">IF(OR(T194="",N(Z194)=0),"",IF($B194="Short",-1,1)*(T194-H194)*G194/Z194)</f>
        <v/>
      </c>
      <c r="AG194" s="21" t="str">
        <f aca="false">IF(U194&lt;&gt;"Open","",Y194*MAX(0,IF($B194="Short",-1,1)*(H194-IF(K194="",I194,K194))))</f>
        <v/>
      </c>
      <c r="AH194" s="26" t="str">
        <f aca="false">IF(U194&lt;&gt;"Closed","",DATE(YEAR(P194),MONTH(P194),1))</f>
        <v/>
      </c>
      <c r="AI194" s="19" t="str">
        <f aca="false">IF(U194&lt;&gt;"Closed","",COUNTIFS($U$7:$U$506,"Closed",$P$7:$P$506,"&lt;"&amp;P194)+COUNTIFS($U$7:U194,"Closed",$P$7:P194,P194))</f>
        <v/>
      </c>
    </row>
    <row r="195" customFormat="false" ht="15" hidden="false" customHeight="false" outlineLevel="0" collapsed="false">
      <c r="A195" s="13"/>
      <c r="B195" s="14"/>
      <c r="C195" s="14"/>
      <c r="D195" s="14"/>
      <c r="E195" s="15"/>
      <c r="F195" s="15"/>
      <c r="G195" s="16"/>
      <c r="H195" s="17"/>
      <c r="I195" s="17"/>
      <c r="J195" s="17"/>
      <c r="K195" s="17"/>
      <c r="L195" s="16"/>
      <c r="M195" s="17"/>
      <c r="N195" s="16"/>
      <c r="O195" s="17"/>
      <c r="P195" s="15"/>
      <c r="Q195" s="17"/>
      <c r="R195" s="17"/>
      <c r="S195" s="17"/>
      <c r="T195" s="17"/>
      <c r="U195" s="18" t="str">
        <f aca="false">IF(A195="","",IF(N(G195)-N(L195)-N(N195)&lt;0,"Check shares",IF(AND(P195&lt;&gt;"",Q195&lt;&gt;""),"Closed","Open")))</f>
        <v/>
      </c>
      <c r="V195" s="19" t="str">
        <f aca="false">IF(OR(F195="",P195=""),"",NETWORKDAYS(F195,P195,Lists!$F$5:$F$40)-1)</f>
        <v/>
      </c>
      <c r="W195" s="18" t="str">
        <f aca="false">IF(V195="","",IF(V195=0,"Same day","Overnight"))</f>
        <v/>
      </c>
      <c r="X195" s="18" t="str">
        <f aca="false">IF(OR(E195="",F195=""),"",IF(AND(E195&gt;=F195,OR(P195="",E195&lt;=P195)),"Yes","No"))</f>
        <v/>
      </c>
      <c r="Y195" s="20" t="str">
        <f aca="false">IF(A195="","",N(G195)-N(L195)-N(N195))</f>
        <v/>
      </c>
      <c r="Z195" s="21" t="str">
        <f aca="false">IF(OR(G195="",H195="",I195=""),"",ABS(H195-I195)*G195)</f>
        <v/>
      </c>
      <c r="AA195" s="22" t="str">
        <f aca="false">IF(OR(J195="",N(Z195)=0),"",ABS(J195-H195)/ABS(H195-I195))</f>
        <v/>
      </c>
      <c r="AB195" s="23" t="str">
        <f aca="false">IF(U195&lt;&gt;"Closed","",(N(L195)*N(M195)+N(N195)*N(O195)+Y195*Q195)/G195)</f>
        <v/>
      </c>
      <c r="AC195" s="24" t="str">
        <f aca="false">IF(U195&lt;&gt;"Closed","",IF($B195="Short",-1,1)*((N(M195)-H195)*N(L195)+(N(O195)-H195)*N(N195)+(Q195-H195)*Y195)-N(R195))</f>
        <v/>
      </c>
      <c r="AD195" s="25" t="str">
        <f aca="false">IF(OR(AC195="",N(Z195)=0),"",AC195/Z195)</f>
        <v/>
      </c>
      <c r="AE195" s="25" t="str">
        <f aca="false">IF(OR(S195="",N(Z195)=0),"",IF($B195="Short",-1,1)*(S195-H195)*G195/Z195)</f>
        <v/>
      </c>
      <c r="AF195" s="25" t="str">
        <f aca="false">IF(OR(T195="",N(Z195)=0),"",IF($B195="Short",-1,1)*(T195-H195)*G195/Z195)</f>
        <v/>
      </c>
      <c r="AG195" s="21" t="str">
        <f aca="false">IF(U195&lt;&gt;"Open","",Y195*MAX(0,IF($B195="Short",-1,1)*(H195-IF(K195="",I195,K195))))</f>
        <v/>
      </c>
      <c r="AH195" s="26" t="str">
        <f aca="false">IF(U195&lt;&gt;"Closed","",DATE(YEAR(P195),MONTH(P195),1))</f>
        <v/>
      </c>
      <c r="AI195" s="19" t="str">
        <f aca="false">IF(U195&lt;&gt;"Closed","",COUNTIFS($U$7:$U$506,"Closed",$P$7:$P$506,"&lt;"&amp;P195)+COUNTIFS($U$7:U195,"Closed",$P$7:P195,P195))</f>
        <v/>
      </c>
    </row>
    <row r="196" customFormat="false" ht="15" hidden="false" customHeight="false" outlineLevel="0" collapsed="false">
      <c r="A196" s="13"/>
      <c r="B196" s="14"/>
      <c r="C196" s="14"/>
      <c r="D196" s="14"/>
      <c r="E196" s="15"/>
      <c r="F196" s="15"/>
      <c r="G196" s="16"/>
      <c r="H196" s="17"/>
      <c r="I196" s="17"/>
      <c r="J196" s="17"/>
      <c r="K196" s="17"/>
      <c r="L196" s="16"/>
      <c r="M196" s="17"/>
      <c r="N196" s="16"/>
      <c r="O196" s="17"/>
      <c r="P196" s="15"/>
      <c r="Q196" s="17"/>
      <c r="R196" s="17"/>
      <c r="S196" s="17"/>
      <c r="T196" s="17"/>
      <c r="U196" s="18" t="str">
        <f aca="false">IF(A196="","",IF(N(G196)-N(L196)-N(N196)&lt;0,"Check shares",IF(AND(P196&lt;&gt;"",Q196&lt;&gt;""),"Closed","Open")))</f>
        <v/>
      </c>
      <c r="V196" s="19" t="str">
        <f aca="false">IF(OR(F196="",P196=""),"",NETWORKDAYS(F196,P196,Lists!$F$5:$F$40)-1)</f>
        <v/>
      </c>
      <c r="W196" s="18" t="str">
        <f aca="false">IF(V196="","",IF(V196=0,"Same day","Overnight"))</f>
        <v/>
      </c>
      <c r="X196" s="18" t="str">
        <f aca="false">IF(OR(E196="",F196=""),"",IF(AND(E196&gt;=F196,OR(P196="",E196&lt;=P196)),"Yes","No"))</f>
        <v/>
      </c>
      <c r="Y196" s="20" t="str">
        <f aca="false">IF(A196="","",N(G196)-N(L196)-N(N196))</f>
        <v/>
      </c>
      <c r="Z196" s="21" t="str">
        <f aca="false">IF(OR(G196="",H196="",I196=""),"",ABS(H196-I196)*G196)</f>
        <v/>
      </c>
      <c r="AA196" s="22" t="str">
        <f aca="false">IF(OR(J196="",N(Z196)=0),"",ABS(J196-H196)/ABS(H196-I196))</f>
        <v/>
      </c>
      <c r="AB196" s="23" t="str">
        <f aca="false">IF(U196&lt;&gt;"Closed","",(N(L196)*N(M196)+N(N196)*N(O196)+Y196*Q196)/G196)</f>
        <v/>
      </c>
      <c r="AC196" s="24" t="str">
        <f aca="false">IF(U196&lt;&gt;"Closed","",IF($B196="Short",-1,1)*((N(M196)-H196)*N(L196)+(N(O196)-H196)*N(N196)+(Q196-H196)*Y196)-N(R196))</f>
        <v/>
      </c>
      <c r="AD196" s="25" t="str">
        <f aca="false">IF(OR(AC196="",N(Z196)=0),"",AC196/Z196)</f>
        <v/>
      </c>
      <c r="AE196" s="25" t="str">
        <f aca="false">IF(OR(S196="",N(Z196)=0),"",IF($B196="Short",-1,1)*(S196-H196)*G196/Z196)</f>
        <v/>
      </c>
      <c r="AF196" s="25" t="str">
        <f aca="false">IF(OR(T196="",N(Z196)=0),"",IF($B196="Short",-1,1)*(T196-H196)*G196/Z196)</f>
        <v/>
      </c>
      <c r="AG196" s="21" t="str">
        <f aca="false">IF(U196&lt;&gt;"Open","",Y196*MAX(0,IF($B196="Short",-1,1)*(H196-IF(K196="",I196,K196))))</f>
        <v/>
      </c>
      <c r="AH196" s="26" t="str">
        <f aca="false">IF(U196&lt;&gt;"Closed","",DATE(YEAR(P196),MONTH(P196),1))</f>
        <v/>
      </c>
      <c r="AI196" s="19" t="str">
        <f aca="false">IF(U196&lt;&gt;"Closed","",COUNTIFS($U$7:$U$506,"Closed",$P$7:$P$506,"&lt;"&amp;P196)+COUNTIFS($U$7:U196,"Closed",$P$7:P196,P196))</f>
        <v/>
      </c>
    </row>
    <row r="197" customFormat="false" ht="15" hidden="false" customHeight="false" outlineLevel="0" collapsed="false">
      <c r="A197" s="13"/>
      <c r="B197" s="14"/>
      <c r="C197" s="14"/>
      <c r="D197" s="14"/>
      <c r="E197" s="15"/>
      <c r="F197" s="15"/>
      <c r="G197" s="16"/>
      <c r="H197" s="17"/>
      <c r="I197" s="17"/>
      <c r="J197" s="17"/>
      <c r="K197" s="17"/>
      <c r="L197" s="16"/>
      <c r="M197" s="17"/>
      <c r="N197" s="16"/>
      <c r="O197" s="17"/>
      <c r="P197" s="15"/>
      <c r="Q197" s="17"/>
      <c r="R197" s="17"/>
      <c r="S197" s="17"/>
      <c r="T197" s="17"/>
      <c r="U197" s="18" t="str">
        <f aca="false">IF(A197="","",IF(N(G197)-N(L197)-N(N197)&lt;0,"Check shares",IF(AND(P197&lt;&gt;"",Q197&lt;&gt;""),"Closed","Open")))</f>
        <v/>
      </c>
      <c r="V197" s="19" t="str">
        <f aca="false">IF(OR(F197="",P197=""),"",NETWORKDAYS(F197,P197,Lists!$F$5:$F$40)-1)</f>
        <v/>
      </c>
      <c r="W197" s="18" t="str">
        <f aca="false">IF(V197="","",IF(V197=0,"Same day","Overnight"))</f>
        <v/>
      </c>
      <c r="X197" s="18" t="str">
        <f aca="false">IF(OR(E197="",F197=""),"",IF(AND(E197&gt;=F197,OR(P197="",E197&lt;=P197)),"Yes","No"))</f>
        <v/>
      </c>
      <c r="Y197" s="20" t="str">
        <f aca="false">IF(A197="","",N(G197)-N(L197)-N(N197))</f>
        <v/>
      </c>
      <c r="Z197" s="21" t="str">
        <f aca="false">IF(OR(G197="",H197="",I197=""),"",ABS(H197-I197)*G197)</f>
        <v/>
      </c>
      <c r="AA197" s="22" t="str">
        <f aca="false">IF(OR(J197="",N(Z197)=0),"",ABS(J197-H197)/ABS(H197-I197))</f>
        <v/>
      </c>
      <c r="AB197" s="23" t="str">
        <f aca="false">IF(U197&lt;&gt;"Closed","",(N(L197)*N(M197)+N(N197)*N(O197)+Y197*Q197)/G197)</f>
        <v/>
      </c>
      <c r="AC197" s="24" t="str">
        <f aca="false">IF(U197&lt;&gt;"Closed","",IF($B197="Short",-1,1)*((N(M197)-H197)*N(L197)+(N(O197)-H197)*N(N197)+(Q197-H197)*Y197)-N(R197))</f>
        <v/>
      </c>
      <c r="AD197" s="25" t="str">
        <f aca="false">IF(OR(AC197="",N(Z197)=0),"",AC197/Z197)</f>
        <v/>
      </c>
      <c r="AE197" s="25" t="str">
        <f aca="false">IF(OR(S197="",N(Z197)=0),"",IF($B197="Short",-1,1)*(S197-H197)*G197/Z197)</f>
        <v/>
      </c>
      <c r="AF197" s="25" t="str">
        <f aca="false">IF(OR(T197="",N(Z197)=0),"",IF($B197="Short",-1,1)*(T197-H197)*G197/Z197)</f>
        <v/>
      </c>
      <c r="AG197" s="21" t="str">
        <f aca="false">IF(U197&lt;&gt;"Open","",Y197*MAX(0,IF($B197="Short",-1,1)*(H197-IF(K197="",I197,K197))))</f>
        <v/>
      </c>
      <c r="AH197" s="26" t="str">
        <f aca="false">IF(U197&lt;&gt;"Closed","",DATE(YEAR(P197),MONTH(P197),1))</f>
        <v/>
      </c>
      <c r="AI197" s="19" t="str">
        <f aca="false">IF(U197&lt;&gt;"Closed","",COUNTIFS($U$7:$U$506,"Closed",$P$7:$P$506,"&lt;"&amp;P197)+COUNTIFS($U$7:U197,"Closed",$P$7:P197,P197))</f>
        <v/>
      </c>
    </row>
    <row r="198" customFormat="false" ht="15" hidden="false" customHeight="false" outlineLevel="0" collapsed="false">
      <c r="A198" s="13"/>
      <c r="B198" s="14"/>
      <c r="C198" s="14"/>
      <c r="D198" s="14"/>
      <c r="E198" s="15"/>
      <c r="F198" s="15"/>
      <c r="G198" s="16"/>
      <c r="H198" s="17"/>
      <c r="I198" s="17"/>
      <c r="J198" s="17"/>
      <c r="K198" s="17"/>
      <c r="L198" s="16"/>
      <c r="M198" s="17"/>
      <c r="N198" s="16"/>
      <c r="O198" s="17"/>
      <c r="P198" s="15"/>
      <c r="Q198" s="17"/>
      <c r="R198" s="17"/>
      <c r="S198" s="17"/>
      <c r="T198" s="17"/>
      <c r="U198" s="18" t="str">
        <f aca="false">IF(A198="","",IF(N(G198)-N(L198)-N(N198)&lt;0,"Check shares",IF(AND(P198&lt;&gt;"",Q198&lt;&gt;""),"Closed","Open")))</f>
        <v/>
      </c>
      <c r="V198" s="19" t="str">
        <f aca="false">IF(OR(F198="",P198=""),"",NETWORKDAYS(F198,P198,Lists!$F$5:$F$40)-1)</f>
        <v/>
      </c>
      <c r="W198" s="18" t="str">
        <f aca="false">IF(V198="","",IF(V198=0,"Same day","Overnight"))</f>
        <v/>
      </c>
      <c r="X198" s="18" t="str">
        <f aca="false">IF(OR(E198="",F198=""),"",IF(AND(E198&gt;=F198,OR(P198="",E198&lt;=P198)),"Yes","No"))</f>
        <v/>
      </c>
      <c r="Y198" s="20" t="str">
        <f aca="false">IF(A198="","",N(G198)-N(L198)-N(N198))</f>
        <v/>
      </c>
      <c r="Z198" s="21" t="str">
        <f aca="false">IF(OR(G198="",H198="",I198=""),"",ABS(H198-I198)*G198)</f>
        <v/>
      </c>
      <c r="AA198" s="22" t="str">
        <f aca="false">IF(OR(J198="",N(Z198)=0),"",ABS(J198-H198)/ABS(H198-I198))</f>
        <v/>
      </c>
      <c r="AB198" s="23" t="str">
        <f aca="false">IF(U198&lt;&gt;"Closed","",(N(L198)*N(M198)+N(N198)*N(O198)+Y198*Q198)/G198)</f>
        <v/>
      </c>
      <c r="AC198" s="24" t="str">
        <f aca="false">IF(U198&lt;&gt;"Closed","",IF($B198="Short",-1,1)*((N(M198)-H198)*N(L198)+(N(O198)-H198)*N(N198)+(Q198-H198)*Y198)-N(R198))</f>
        <v/>
      </c>
      <c r="AD198" s="25" t="str">
        <f aca="false">IF(OR(AC198="",N(Z198)=0),"",AC198/Z198)</f>
        <v/>
      </c>
      <c r="AE198" s="25" t="str">
        <f aca="false">IF(OR(S198="",N(Z198)=0),"",IF($B198="Short",-1,1)*(S198-H198)*G198/Z198)</f>
        <v/>
      </c>
      <c r="AF198" s="25" t="str">
        <f aca="false">IF(OR(T198="",N(Z198)=0),"",IF($B198="Short",-1,1)*(T198-H198)*G198/Z198)</f>
        <v/>
      </c>
      <c r="AG198" s="21" t="str">
        <f aca="false">IF(U198&lt;&gt;"Open","",Y198*MAX(0,IF($B198="Short",-1,1)*(H198-IF(K198="",I198,K198))))</f>
        <v/>
      </c>
      <c r="AH198" s="26" t="str">
        <f aca="false">IF(U198&lt;&gt;"Closed","",DATE(YEAR(P198),MONTH(P198),1))</f>
        <v/>
      </c>
      <c r="AI198" s="19" t="str">
        <f aca="false">IF(U198&lt;&gt;"Closed","",COUNTIFS($U$7:$U$506,"Closed",$P$7:$P$506,"&lt;"&amp;P198)+COUNTIFS($U$7:U198,"Closed",$P$7:P198,P198))</f>
        <v/>
      </c>
    </row>
    <row r="199" customFormat="false" ht="15" hidden="false" customHeight="false" outlineLevel="0" collapsed="false">
      <c r="A199" s="13"/>
      <c r="B199" s="14"/>
      <c r="C199" s="14"/>
      <c r="D199" s="14"/>
      <c r="E199" s="15"/>
      <c r="F199" s="15"/>
      <c r="G199" s="16"/>
      <c r="H199" s="17"/>
      <c r="I199" s="17"/>
      <c r="J199" s="17"/>
      <c r="K199" s="17"/>
      <c r="L199" s="16"/>
      <c r="M199" s="17"/>
      <c r="N199" s="16"/>
      <c r="O199" s="17"/>
      <c r="P199" s="15"/>
      <c r="Q199" s="17"/>
      <c r="R199" s="17"/>
      <c r="S199" s="17"/>
      <c r="T199" s="17"/>
      <c r="U199" s="18" t="str">
        <f aca="false">IF(A199="","",IF(N(G199)-N(L199)-N(N199)&lt;0,"Check shares",IF(AND(P199&lt;&gt;"",Q199&lt;&gt;""),"Closed","Open")))</f>
        <v/>
      </c>
      <c r="V199" s="19" t="str">
        <f aca="false">IF(OR(F199="",P199=""),"",NETWORKDAYS(F199,P199,Lists!$F$5:$F$40)-1)</f>
        <v/>
      </c>
      <c r="W199" s="18" t="str">
        <f aca="false">IF(V199="","",IF(V199=0,"Same day","Overnight"))</f>
        <v/>
      </c>
      <c r="X199" s="18" t="str">
        <f aca="false">IF(OR(E199="",F199=""),"",IF(AND(E199&gt;=F199,OR(P199="",E199&lt;=P199)),"Yes","No"))</f>
        <v/>
      </c>
      <c r="Y199" s="20" t="str">
        <f aca="false">IF(A199="","",N(G199)-N(L199)-N(N199))</f>
        <v/>
      </c>
      <c r="Z199" s="21" t="str">
        <f aca="false">IF(OR(G199="",H199="",I199=""),"",ABS(H199-I199)*G199)</f>
        <v/>
      </c>
      <c r="AA199" s="22" t="str">
        <f aca="false">IF(OR(J199="",N(Z199)=0),"",ABS(J199-H199)/ABS(H199-I199))</f>
        <v/>
      </c>
      <c r="AB199" s="23" t="str">
        <f aca="false">IF(U199&lt;&gt;"Closed","",(N(L199)*N(M199)+N(N199)*N(O199)+Y199*Q199)/G199)</f>
        <v/>
      </c>
      <c r="AC199" s="24" t="str">
        <f aca="false">IF(U199&lt;&gt;"Closed","",IF($B199="Short",-1,1)*((N(M199)-H199)*N(L199)+(N(O199)-H199)*N(N199)+(Q199-H199)*Y199)-N(R199))</f>
        <v/>
      </c>
      <c r="AD199" s="25" t="str">
        <f aca="false">IF(OR(AC199="",N(Z199)=0),"",AC199/Z199)</f>
        <v/>
      </c>
      <c r="AE199" s="25" t="str">
        <f aca="false">IF(OR(S199="",N(Z199)=0),"",IF($B199="Short",-1,1)*(S199-H199)*G199/Z199)</f>
        <v/>
      </c>
      <c r="AF199" s="25" t="str">
        <f aca="false">IF(OR(T199="",N(Z199)=0),"",IF($B199="Short",-1,1)*(T199-H199)*G199/Z199)</f>
        <v/>
      </c>
      <c r="AG199" s="21" t="str">
        <f aca="false">IF(U199&lt;&gt;"Open","",Y199*MAX(0,IF($B199="Short",-1,1)*(H199-IF(K199="",I199,K199))))</f>
        <v/>
      </c>
      <c r="AH199" s="26" t="str">
        <f aca="false">IF(U199&lt;&gt;"Closed","",DATE(YEAR(P199),MONTH(P199),1))</f>
        <v/>
      </c>
      <c r="AI199" s="19" t="str">
        <f aca="false">IF(U199&lt;&gt;"Closed","",COUNTIFS($U$7:$U$506,"Closed",$P$7:$P$506,"&lt;"&amp;P199)+COUNTIFS($U$7:U199,"Closed",$P$7:P199,P199))</f>
        <v/>
      </c>
    </row>
    <row r="200" customFormat="false" ht="15" hidden="false" customHeight="false" outlineLevel="0" collapsed="false">
      <c r="A200" s="13"/>
      <c r="B200" s="14"/>
      <c r="C200" s="14"/>
      <c r="D200" s="14"/>
      <c r="E200" s="15"/>
      <c r="F200" s="15"/>
      <c r="G200" s="16"/>
      <c r="H200" s="17"/>
      <c r="I200" s="17"/>
      <c r="J200" s="17"/>
      <c r="K200" s="17"/>
      <c r="L200" s="16"/>
      <c r="M200" s="17"/>
      <c r="N200" s="16"/>
      <c r="O200" s="17"/>
      <c r="P200" s="15"/>
      <c r="Q200" s="17"/>
      <c r="R200" s="17"/>
      <c r="S200" s="17"/>
      <c r="T200" s="17"/>
      <c r="U200" s="18" t="str">
        <f aca="false">IF(A200="","",IF(N(G200)-N(L200)-N(N200)&lt;0,"Check shares",IF(AND(P200&lt;&gt;"",Q200&lt;&gt;""),"Closed","Open")))</f>
        <v/>
      </c>
      <c r="V200" s="19" t="str">
        <f aca="false">IF(OR(F200="",P200=""),"",NETWORKDAYS(F200,P200,Lists!$F$5:$F$40)-1)</f>
        <v/>
      </c>
      <c r="W200" s="18" t="str">
        <f aca="false">IF(V200="","",IF(V200=0,"Same day","Overnight"))</f>
        <v/>
      </c>
      <c r="X200" s="18" t="str">
        <f aca="false">IF(OR(E200="",F200=""),"",IF(AND(E200&gt;=F200,OR(P200="",E200&lt;=P200)),"Yes","No"))</f>
        <v/>
      </c>
      <c r="Y200" s="20" t="str">
        <f aca="false">IF(A200="","",N(G200)-N(L200)-N(N200))</f>
        <v/>
      </c>
      <c r="Z200" s="21" t="str">
        <f aca="false">IF(OR(G200="",H200="",I200=""),"",ABS(H200-I200)*G200)</f>
        <v/>
      </c>
      <c r="AA200" s="22" t="str">
        <f aca="false">IF(OR(J200="",N(Z200)=0),"",ABS(J200-H200)/ABS(H200-I200))</f>
        <v/>
      </c>
      <c r="AB200" s="23" t="str">
        <f aca="false">IF(U200&lt;&gt;"Closed","",(N(L200)*N(M200)+N(N200)*N(O200)+Y200*Q200)/G200)</f>
        <v/>
      </c>
      <c r="AC200" s="24" t="str">
        <f aca="false">IF(U200&lt;&gt;"Closed","",IF($B200="Short",-1,1)*((N(M200)-H200)*N(L200)+(N(O200)-H200)*N(N200)+(Q200-H200)*Y200)-N(R200))</f>
        <v/>
      </c>
      <c r="AD200" s="25" t="str">
        <f aca="false">IF(OR(AC200="",N(Z200)=0),"",AC200/Z200)</f>
        <v/>
      </c>
      <c r="AE200" s="25" t="str">
        <f aca="false">IF(OR(S200="",N(Z200)=0),"",IF($B200="Short",-1,1)*(S200-H200)*G200/Z200)</f>
        <v/>
      </c>
      <c r="AF200" s="25" t="str">
        <f aca="false">IF(OR(T200="",N(Z200)=0),"",IF($B200="Short",-1,1)*(T200-H200)*G200/Z200)</f>
        <v/>
      </c>
      <c r="AG200" s="21" t="str">
        <f aca="false">IF(U200&lt;&gt;"Open","",Y200*MAX(0,IF($B200="Short",-1,1)*(H200-IF(K200="",I200,K200))))</f>
        <v/>
      </c>
      <c r="AH200" s="26" t="str">
        <f aca="false">IF(U200&lt;&gt;"Closed","",DATE(YEAR(P200),MONTH(P200),1))</f>
        <v/>
      </c>
      <c r="AI200" s="19" t="str">
        <f aca="false">IF(U200&lt;&gt;"Closed","",COUNTIFS($U$7:$U$506,"Closed",$P$7:$P$506,"&lt;"&amp;P200)+COUNTIFS($U$7:U200,"Closed",$P$7:P200,P200))</f>
        <v/>
      </c>
    </row>
    <row r="201" customFormat="false" ht="15" hidden="false" customHeight="false" outlineLevel="0" collapsed="false">
      <c r="A201" s="13"/>
      <c r="B201" s="14"/>
      <c r="C201" s="14"/>
      <c r="D201" s="14"/>
      <c r="E201" s="15"/>
      <c r="F201" s="15"/>
      <c r="G201" s="16"/>
      <c r="H201" s="17"/>
      <c r="I201" s="17"/>
      <c r="J201" s="17"/>
      <c r="K201" s="17"/>
      <c r="L201" s="16"/>
      <c r="M201" s="17"/>
      <c r="N201" s="16"/>
      <c r="O201" s="17"/>
      <c r="P201" s="15"/>
      <c r="Q201" s="17"/>
      <c r="R201" s="17"/>
      <c r="S201" s="17"/>
      <c r="T201" s="17"/>
      <c r="U201" s="18" t="str">
        <f aca="false">IF(A201="","",IF(N(G201)-N(L201)-N(N201)&lt;0,"Check shares",IF(AND(P201&lt;&gt;"",Q201&lt;&gt;""),"Closed","Open")))</f>
        <v/>
      </c>
      <c r="V201" s="19" t="str">
        <f aca="false">IF(OR(F201="",P201=""),"",NETWORKDAYS(F201,P201,Lists!$F$5:$F$40)-1)</f>
        <v/>
      </c>
      <c r="W201" s="18" t="str">
        <f aca="false">IF(V201="","",IF(V201=0,"Same day","Overnight"))</f>
        <v/>
      </c>
      <c r="X201" s="18" t="str">
        <f aca="false">IF(OR(E201="",F201=""),"",IF(AND(E201&gt;=F201,OR(P201="",E201&lt;=P201)),"Yes","No"))</f>
        <v/>
      </c>
      <c r="Y201" s="20" t="str">
        <f aca="false">IF(A201="","",N(G201)-N(L201)-N(N201))</f>
        <v/>
      </c>
      <c r="Z201" s="21" t="str">
        <f aca="false">IF(OR(G201="",H201="",I201=""),"",ABS(H201-I201)*G201)</f>
        <v/>
      </c>
      <c r="AA201" s="22" t="str">
        <f aca="false">IF(OR(J201="",N(Z201)=0),"",ABS(J201-H201)/ABS(H201-I201))</f>
        <v/>
      </c>
      <c r="AB201" s="23" t="str">
        <f aca="false">IF(U201&lt;&gt;"Closed","",(N(L201)*N(M201)+N(N201)*N(O201)+Y201*Q201)/G201)</f>
        <v/>
      </c>
      <c r="AC201" s="24" t="str">
        <f aca="false">IF(U201&lt;&gt;"Closed","",IF($B201="Short",-1,1)*((N(M201)-H201)*N(L201)+(N(O201)-H201)*N(N201)+(Q201-H201)*Y201)-N(R201))</f>
        <v/>
      </c>
      <c r="AD201" s="25" t="str">
        <f aca="false">IF(OR(AC201="",N(Z201)=0),"",AC201/Z201)</f>
        <v/>
      </c>
      <c r="AE201" s="25" t="str">
        <f aca="false">IF(OR(S201="",N(Z201)=0),"",IF($B201="Short",-1,1)*(S201-H201)*G201/Z201)</f>
        <v/>
      </c>
      <c r="AF201" s="25" t="str">
        <f aca="false">IF(OR(T201="",N(Z201)=0),"",IF($B201="Short",-1,1)*(T201-H201)*G201/Z201)</f>
        <v/>
      </c>
      <c r="AG201" s="21" t="str">
        <f aca="false">IF(U201&lt;&gt;"Open","",Y201*MAX(0,IF($B201="Short",-1,1)*(H201-IF(K201="",I201,K201))))</f>
        <v/>
      </c>
      <c r="AH201" s="26" t="str">
        <f aca="false">IF(U201&lt;&gt;"Closed","",DATE(YEAR(P201),MONTH(P201),1))</f>
        <v/>
      </c>
      <c r="AI201" s="19" t="str">
        <f aca="false">IF(U201&lt;&gt;"Closed","",COUNTIFS($U$7:$U$506,"Closed",$P$7:$P$506,"&lt;"&amp;P201)+COUNTIFS($U$7:U201,"Closed",$P$7:P201,P201))</f>
        <v/>
      </c>
    </row>
    <row r="202" customFormat="false" ht="15" hidden="false" customHeight="false" outlineLevel="0" collapsed="false">
      <c r="A202" s="13"/>
      <c r="B202" s="14"/>
      <c r="C202" s="14"/>
      <c r="D202" s="14"/>
      <c r="E202" s="15"/>
      <c r="F202" s="15"/>
      <c r="G202" s="16"/>
      <c r="H202" s="17"/>
      <c r="I202" s="17"/>
      <c r="J202" s="17"/>
      <c r="K202" s="17"/>
      <c r="L202" s="16"/>
      <c r="M202" s="17"/>
      <c r="N202" s="16"/>
      <c r="O202" s="17"/>
      <c r="P202" s="15"/>
      <c r="Q202" s="17"/>
      <c r="R202" s="17"/>
      <c r="S202" s="17"/>
      <c r="T202" s="17"/>
      <c r="U202" s="18" t="str">
        <f aca="false">IF(A202="","",IF(N(G202)-N(L202)-N(N202)&lt;0,"Check shares",IF(AND(P202&lt;&gt;"",Q202&lt;&gt;""),"Closed","Open")))</f>
        <v/>
      </c>
      <c r="V202" s="19" t="str">
        <f aca="false">IF(OR(F202="",P202=""),"",NETWORKDAYS(F202,P202,Lists!$F$5:$F$40)-1)</f>
        <v/>
      </c>
      <c r="W202" s="18" t="str">
        <f aca="false">IF(V202="","",IF(V202=0,"Same day","Overnight"))</f>
        <v/>
      </c>
      <c r="X202" s="18" t="str">
        <f aca="false">IF(OR(E202="",F202=""),"",IF(AND(E202&gt;=F202,OR(P202="",E202&lt;=P202)),"Yes","No"))</f>
        <v/>
      </c>
      <c r="Y202" s="20" t="str">
        <f aca="false">IF(A202="","",N(G202)-N(L202)-N(N202))</f>
        <v/>
      </c>
      <c r="Z202" s="21" t="str">
        <f aca="false">IF(OR(G202="",H202="",I202=""),"",ABS(H202-I202)*G202)</f>
        <v/>
      </c>
      <c r="AA202" s="22" t="str">
        <f aca="false">IF(OR(J202="",N(Z202)=0),"",ABS(J202-H202)/ABS(H202-I202))</f>
        <v/>
      </c>
      <c r="AB202" s="23" t="str">
        <f aca="false">IF(U202&lt;&gt;"Closed","",(N(L202)*N(M202)+N(N202)*N(O202)+Y202*Q202)/G202)</f>
        <v/>
      </c>
      <c r="AC202" s="24" t="str">
        <f aca="false">IF(U202&lt;&gt;"Closed","",IF($B202="Short",-1,1)*((N(M202)-H202)*N(L202)+(N(O202)-H202)*N(N202)+(Q202-H202)*Y202)-N(R202))</f>
        <v/>
      </c>
      <c r="AD202" s="25" t="str">
        <f aca="false">IF(OR(AC202="",N(Z202)=0),"",AC202/Z202)</f>
        <v/>
      </c>
      <c r="AE202" s="25" t="str">
        <f aca="false">IF(OR(S202="",N(Z202)=0),"",IF($B202="Short",-1,1)*(S202-H202)*G202/Z202)</f>
        <v/>
      </c>
      <c r="AF202" s="25" t="str">
        <f aca="false">IF(OR(T202="",N(Z202)=0),"",IF($B202="Short",-1,1)*(T202-H202)*G202/Z202)</f>
        <v/>
      </c>
      <c r="AG202" s="21" t="str">
        <f aca="false">IF(U202&lt;&gt;"Open","",Y202*MAX(0,IF($B202="Short",-1,1)*(H202-IF(K202="",I202,K202))))</f>
        <v/>
      </c>
      <c r="AH202" s="26" t="str">
        <f aca="false">IF(U202&lt;&gt;"Closed","",DATE(YEAR(P202),MONTH(P202),1))</f>
        <v/>
      </c>
      <c r="AI202" s="19" t="str">
        <f aca="false">IF(U202&lt;&gt;"Closed","",COUNTIFS($U$7:$U$506,"Closed",$P$7:$P$506,"&lt;"&amp;P202)+COUNTIFS($U$7:U202,"Closed",$P$7:P202,P202))</f>
        <v/>
      </c>
    </row>
    <row r="203" customFormat="false" ht="15" hidden="false" customHeight="false" outlineLevel="0" collapsed="false">
      <c r="A203" s="13"/>
      <c r="B203" s="14"/>
      <c r="C203" s="14"/>
      <c r="D203" s="14"/>
      <c r="E203" s="15"/>
      <c r="F203" s="15"/>
      <c r="G203" s="16"/>
      <c r="H203" s="17"/>
      <c r="I203" s="17"/>
      <c r="J203" s="17"/>
      <c r="K203" s="17"/>
      <c r="L203" s="16"/>
      <c r="M203" s="17"/>
      <c r="N203" s="16"/>
      <c r="O203" s="17"/>
      <c r="P203" s="15"/>
      <c r="Q203" s="17"/>
      <c r="R203" s="17"/>
      <c r="S203" s="17"/>
      <c r="T203" s="17"/>
      <c r="U203" s="18" t="str">
        <f aca="false">IF(A203="","",IF(N(G203)-N(L203)-N(N203)&lt;0,"Check shares",IF(AND(P203&lt;&gt;"",Q203&lt;&gt;""),"Closed","Open")))</f>
        <v/>
      </c>
      <c r="V203" s="19" t="str">
        <f aca="false">IF(OR(F203="",P203=""),"",NETWORKDAYS(F203,P203,Lists!$F$5:$F$40)-1)</f>
        <v/>
      </c>
      <c r="W203" s="18" t="str">
        <f aca="false">IF(V203="","",IF(V203=0,"Same day","Overnight"))</f>
        <v/>
      </c>
      <c r="X203" s="18" t="str">
        <f aca="false">IF(OR(E203="",F203=""),"",IF(AND(E203&gt;=F203,OR(P203="",E203&lt;=P203)),"Yes","No"))</f>
        <v/>
      </c>
      <c r="Y203" s="20" t="str">
        <f aca="false">IF(A203="","",N(G203)-N(L203)-N(N203))</f>
        <v/>
      </c>
      <c r="Z203" s="21" t="str">
        <f aca="false">IF(OR(G203="",H203="",I203=""),"",ABS(H203-I203)*G203)</f>
        <v/>
      </c>
      <c r="AA203" s="22" t="str">
        <f aca="false">IF(OR(J203="",N(Z203)=0),"",ABS(J203-H203)/ABS(H203-I203))</f>
        <v/>
      </c>
      <c r="AB203" s="23" t="str">
        <f aca="false">IF(U203&lt;&gt;"Closed","",(N(L203)*N(M203)+N(N203)*N(O203)+Y203*Q203)/G203)</f>
        <v/>
      </c>
      <c r="AC203" s="24" t="str">
        <f aca="false">IF(U203&lt;&gt;"Closed","",IF($B203="Short",-1,1)*((N(M203)-H203)*N(L203)+(N(O203)-H203)*N(N203)+(Q203-H203)*Y203)-N(R203))</f>
        <v/>
      </c>
      <c r="AD203" s="25" t="str">
        <f aca="false">IF(OR(AC203="",N(Z203)=0),"",AC203/Z203)</f>
        <v/>
      </c>
      <c r="AE203" s="25" t="str">
        <f aca="false">IF(OR(S203="",N(Z203)=0),"",IF($B203="Short",-1,1)*(S203-H203)*G203/Z203)</f>
        <v/>
      </c>
      <c r="AF203" s="25" t="str">
        <f aca="false">IF(OR(T203="",N(Z203)=0),"",IF($B203="Short",-1,1)*(T203-H203)*G203/Z203)</f>
        <v/>
      </c>
      <c r="AG203" s="21" t="str">
        <f aca="false">IF(U203&lt;&gt;"Open","",Y203*MAX(0,IF($B203="Short",-1,1)*(H203-IF(K203="",I203,K203))))</f>
        <v/>
      </c>
      <c r="AH203" s="26" t="str">
        <f aca="false">IF(U203&lt;&gt;"Closed","",DATE(YEAR(P203),MONTH(P203),1))</f>
        <v/>
      </c>
      <c r="AI203" s="19" t="str">
        <f aca="false">IF(U203&lt;&gt;"Closed","",COUNTIFS($U$7:$U$506,"Closed",$P$7:$P$506,"&lt;"&amp;P203)+COUNTIFS($U$7:U203,"Closed",$P$7:P203,P203))</f>
        <v/>
      </c>
    </row>
    <row r="204" customFormat="false" ht="15" hidden="false" customHeight="false" outlineLevel="0" collapsed="false">
      <c r="A204" s="13"/>
      <c r="B204" s="14"/>
      <c r="C204" s="14"/>
      <c r="D204" s="14"/>
      <c r="E204" s="15"/>
      <c r="F204" s="15"/>
      <c r="G204" s="16"/>
      <c r="H204" s="17"/>
      <c r="I204" s="17"/>
      <c r="J204" s="17"/>
      <c r="K204" s="17"/>
      <c r="L204" s="16"/>
      <c r="M204" s="17"/>
      <c r="N204" s="16"/>
      <c r="O204" s="17"/>
      <c r="P204" s="15"/>
      <c r="Q204" s="17"/>
      <c r="R204" s="17"/>
      <c r="S204" s="17"/>
      <c r="T204" s="17"/>
      <c r="U204" s="18" t="str">
        <f aca="false">IF(A204="","",IF(N(G204)-N(L204)-N(N204)&lt;0,"Check shares",IF(AND(P204&lt;&gt;"",Q204&lt;&gt;""),"Closed","Open")))</f>
        <v/>
      </c>
      <c r="V204" s="19" t="str">
        <f aca="false">IF(OR(F204="",P204=""),"",NETWORKDAYS(F204,P204,Lists!$F$5:$F$40)-1)</f>
        <v/>
      </c>
      <c r="W204" s="18" t="str">
        <f aca="false">IF(V204="","",IF(V204=0,"Same day","Overnight"))</f>
        <v/>
      </c>
      <c r="X204" s="18" t="str">
        <f aca="false">IF(OR(E204="",F204=""),"",IF(AND(E204&gt;=F204,OR(P204="",E204&lt;=P204)),"Yes","No"))</f>
        <v/>
      </c>
      <c r="Y204" s="20" t="str">
        <f aca="false">IF(A204="","",N(G204)-N(L204)-N(N204))</f>
        <v/>
      </c>
      <c r="Z204" s="21" t="str">
        <f aca="false">IF(OR(G204="",H204="",I204=""),"",ABS(H204-I204)*G204)</f>
        <v/>
      </c>
      <c r="AA204" s="22" t="str">
        <f aca="false">IF(OR(J204="",N(Z204)=0),"",ABS(J204-H204)/ABS(H204-I204))</f>
        <v/>
      </c>
      <c r="AB204" s="23" t="str">
        <f aca="false">IF(U204&lt;&gt;"Closed","",(N(L204)*N(M204)+N(N204)*N(O204)+Y204*Q204)/G204)</f>
        <v/>
      </c>
      <c r="AC204" s="24" t="str">
        <f aca="false">IF(U204&lt;&gt;"Closed","",IF($B204="Short",-1,1)*((N(M204)-H204)*N(L204)+(N(O204)-H204)*N(N204)+(Q204-H204)*Y204)-N(R204))</f>
        <v/>
      </c>
      <c r="AD204" s="25" t="str">
        <f aca="false">IF(OR(AC204="",N(Z204)=0),"",AC204/Z204)</f>
        <v/>
      </c>
      <c r="AE204" s="25" t="str">
        <f aca="false">IF(OR(S204="",N(Z204)=0),"",IF($B204="Short",-1,1)*(S204-H204)*G204/Z204)</f>
        <v/>
      </c>
      <c r="AF204" s="25" t="str">
        <f aca="false">IF(OR(T204="",N(Z204)=0),"",IF($B204="Short",-1,1)*(T204-H204)*G204/Z204)</f>
        <v/>
      </c>
      <c r="AG204" s="21" t="str">
        <f aca="false">IF(U204&lt;&gt;"Open","",Y204*MAX(0,IF($B204="Short",-1,1)*(H204-IF(K204="",I204,K204))))</f>
        <v/>
      </c>
      <c r="AH204" s="26" t="str">
        <f aca="false">IF(U204&lt;&gt;"Closed","",DATE(YEAR(P204),MONTH(P204),1))</f>
        <v/>
      </c>
      <c r="AI204" s="19" t="str">
        <f aca="false">IF(U204&lt;&gt;"Closed","",COUNTIFS($U$7:$U$506,"Closed",$P$7:$P$506,"&lt;"&amp;P204)+COUNTIFS($U$7:U204,"Closed",$P$7:P204,P204))</f>
        <v/>
      </c>
    </row>
    <row r="205" customFormat="false" ht="15" hidden="false" customHeight="false" outlineLevel="0" collapsed="false">
      <c r="A205" s="13"/>
      <c r="B205" s="14"/>
      <c r="C205" s="14"/>
      <c r="D205" s="14"/>
      <c r="E205" s="15"/>
      <c r="F205" s="15"/>
      <c r="G205" s="16"/>
      <c r="H205" s="17"/>
      <c r="I205" s="17"/>
      <c r="J205" s="17"/>
      <c r="K205" s="17"/>
      <c r="L205" s="16"/>
      <c r="M205" s="17"/>
      <c r="N205" s="16"/>
      <c r="O205" s="17"/>
      <c r="P205" s="15"/>
      <c r="Q205" s="17"/>
      <c r="R205" s="17"/>
      <c r="S205" s="17"/>
      <c r="T205" s="17"/>
      <c r="U205" s="18" t="str">
        <f aca="false">IF(A205="","",IF(N(G205)-N(L205)-N(N205)&lt;0,"Check shares",IF(AND(P205&lt;&gt;"",Q205&lt;&gt;""),"Closed","Open")))</f>
        <v/>
      </c>
      <c r="V205" s="19" t="str">
        <f aca="false">IF(OR(F205="",P205=""),"",NETWORKDAYS(F205,P205,Lists!$F$5:$F$40)-1)</f>
        <v/>
      </c>
      <c r="W205" s="18" t="str">
        <f aca="false">IF(V205="","",IF(V205=0,"Same day","Overnight"))</f>
        <v/>
      </c>
      <c r="X205" s="18" t="str">
        <f aca="false">IF(OR(E205="",F205=""),"",IF(AND(E205&gt;=F205,OR(P205="",E205&lt;=P205)),"Yes","No"))</f>
        <v/>
      </c>
      <c r="Y205" s="20" t="str">
        <f aca="false">IF(A205="","",N(G205)-N(L205)-N(N205))</f>
        <v/>
      </c>
      <c r="Z205" s="21" t="str">
        <f aca="false">IF(OR(G205="",H205="",I205=""),"",ABS(H205-I205)*G205)</f>
        <v/>
      </c>
      <c r="AA205" s="22" t="str">
        <f aca="false">IF(OR(J205="",N(Z205)=0),"",ABS(J205-H205)/ABS(H205-I205))</f>
        <v/>
      </c>
      <c r="AB205" s="23" t="str">
        <f aca="false">IF(U205&lt;&gt;"Closed","",(N(L205)*N(M205)+N(N205)*N(O205)+Y205*Q205)/G205)</f>
        <v/>
      </c>
      <c r="AC205" s="24" t="str">
        <f aca="false">IF(U205&lt;&gt;"Closed","",IF($B205="Short",-1,1)*((N(M205)-H205)*N(L205)+(N(O205)-H205)*N(N205)+(Q205-H205)*Y205)-N(R205))</f>
        <v/>
      </c>
      <c r="AD205" s="25" t="str">
        <f aca="false">IF(OR(AC205="",N(Z205)=0),"",AC205/Z205)</f>
        <v/>
      </c>
      <c r="AE205" s="25" t="str">
        <f aca="false">IF(OR(S205="",N(Z205)=0),"",IF($B205="Short",-1,1)*(S205-H205)*G205/Z205)</f>
        <v/>
      </c>
      <c r="AF205" s="25" t="str">
        <f aca="false">IF(OR(T205="",N(Z205)=0),"",IF($B205="Short",-1,1)*(T205-H205)*G205/Z205)</f>
        <v/>
      </c>
      <c r="AG205" s="21" t="str">
        <f aca="false">IF(U205&lt;&gt;"Open","",Y205*MAX(0,IF($B205="Short",-1,1)*(H205-IF(K205="",I205,K205))))</f>
        <v/>
      </c>
      <c r="AH205" s="26" t="str">
        <f aca="false">IF(U205&lt;&gt;"Closed","",DATE(YEAR(P205),MONTH(P205),1))</f>
        <v/>
      </c>
      <c r="AI205" s="19" t="str">
        <f aca="false">IF(U205&lt;&gt;"Closed","",COUNTIFS($U$7:$U$506,"Closed",$P$7:$P$506,"&lt;"&amp;P205)+COUNTIFS($U$7:U205,"Closed",$P$7:P205,P205))</f>
        <v/>
      </c>
    </row>
    <row r="206" customFormat="false" ht="15" hidden="false" customHeight="false" outlineLevel="0" collapsed="false">
      <c r="A206" s="13"/>
      <c r="B206" s="14"/>
      <c r="C206" s="14"/>
      <c r="D206" s="14"/>
      <c r="E206" s="15"/>
      <c r="F206" s="15"/>
      <c r="G206" s="16"/>
      <c r="H206" s="17"/>
      <c r="I206" s="17"/>
      <c r="J206" s="17"/>
      <c r="K206" s="17"/>
      <c r="L206" s="16"/>
      <c r="M206" s="17"/>
      <c r="N206" s="16"/>
      <c r="O206" s="17"/>
      <c r="P206" s="15"/>
      <c r="Q206" s="17"/>
      <c r="R206" s="17"/>
      <c r="S206" s="17"/>
      <c r="T206" s="17"/>
      <c r="U206" s="18" t="str">
        <f aca="false">IF(A206="","",IF(N(G206)-N(L206)-N(N206)&lt;0,"Check shares",IF(AND(P206&lt;&gt;"",Q206&lt;&gt;""),"Closed","Open")))</f>
        <v/>
      </c>
      <c r="V206" s="19" t="str">
        <f aca="false">IF(OR(F206="",P206=""),"",NETWORKDAYS(F206,P206,Lists!$F$5:$F$40)-1)</f>
        <v/>
      </c>
      <c r="W206" s="18" t="str">
        <f aca="false">IF(V206="","",IF(V206=0,"Same day","Overnight"))</f>
        <v/>
      </c>
      <c r="X206" s="18" t="str">
        <f aca="false">IF(OR(E206="",F206=""),"",IF(AND(E206&gt;=F206,OR(P206="",E206&lt;=P206)),"Yes","No"))</f>
        <v/>
      </c>
      <c r="Y206" s="20" t="str">
        <f aca="false">IF(A206="","",N(G206)-N(L206)-N(N206))</f>
        <v/>
      </c>
      <c r="Z206" s="21" t="str">
        <f aca="false">IF(OR(G206="",H206="",I206=""),"",ABS(H206-I206)*G206)</f>
        <v/>
      </c>
      <c r="AA206" s="22" t="str">
        <f aca="false">IF(OR(J206="",N(Z206)=0),"",ABS(J206-H206)/ABS(H206-I206))</f>
        <v/>
      </c>
      <c r="AB206" s="23" t="str">
        <f aca="false">IF(U206&lt;&gt;"Closed","",(N(L206)*N(M206)+N(N206)*N(O206)+Y206*Q206)/G206)</f>
        <v/>
      </c>
      <c r="AC206" s="24" t="str">
        <f aca="false">IF(U206&lt;&gt;"Closed","",IF($B206="Short",-1,1)*((N(M206)-H206)*N(L206)+(N(O206)-H206)*N(N206)+(Q206-H206)*Y206)-N(R206))</f>
        <v/>
      </c>
      <c r="AD206" s="25" t="str">
        <f aca="false">IF(OR(AC206="",N(Z206)=0),"",AC206/Z206)</f>
        <v/>
      </c>
      <c r="AE206" s="25" t="str">
        <f aca="false">IF(OR(S206="",N(Z206)=0),"",IF($B206="Short",-1,1)*(S206-H206)*G206/Z206)</f>
        <v/>
      </c>
      <c r="AF206" s="25" t="str">
        <f aca="false">IF(OR(T206="",N(Z206)=0),"",IF($B206="Short",-1,1)*(T206-H206)*G206/Z206)</f>
        <v/>
      </c>
      <c r="AG206" s="21" t="str">
        <f aca="false">IF(U206&lt;&gt;"Open","",Y206*MAX(0,IF($B206="Short",-1,1)*(H206-IF(K206="",I206,K206))))</f>
        <v/>
      </c>
      <c r="AH206" s="26" t="str">
        <f aca="false">IF(U206&lt;&gt;"Closed","",DATE(YEAR(P206),MONTH(P206),1))</f>
        <v/>
      </c>
      <c r="AI206" s="19" t="str">
        <f aca="false">IF(U206&lt;&gt;"Closed","",COUNTIFS($U$7:$U$506,"Closed",$P$7:$P$506,"&lt;"&amp;P206)+COUNTIFS($U$7:U206,"Closed",$P$7:P206,P206))</f>
        <v/>
      </c>
    </row>
    <row r="207" customFormat="false" ht="15" hidden="false" customHeight="false" outlineLevel="0" collapsed="false">
      <c r="A207" s="13"/>
      <c r="B207" s="14"/>
      <c r="C207" s="14"/>
      <c r="D207" s="14"/>
      <c r="E207" s="15"/>
      <c r="F207" s="15"/>
      <c r="G207" s="16"/>
      <c r="H207" s="17"/>
      <c r="I207" s="17"/>
      <c r="J207" s="17"/>
      <c r="K207" s="17"/>
      <c r="L207" s="16"/>
      <c r="M207" s="17"/>
      <c r="N207" s="16"/>
      <c r="O207" s="17"/>
      <c r="P207" s="15"/>
      <c r="Q207" s="17"/>
      <c r="R207" s="17"/>
      <c r="S207" s="17"/>
      <c r="T207" s="17"/>
      <c r="U207" s="18" t="str">
        <f aca="false">IF(A207="","",IF(N(G207)-N(L207)-N(N207)&lt;0,"Check shares",IF(AND(P207&lt;&gt;"",Q207&lt;&gt;""),"Closed","Open")))</f>
        <v/>
      </c>
      <c r="V207" s="19" t="str">
        <f aca="false">IF(OR(F207="",P207=""),"",NETWORKDAYS(F207,P207,Lists!$F$5:$F$40)-1)</f>
        <v/>
      </c>
      <c r="W207" s="18" t="str">
        <f aca="false">IF(V207="","",IF(V207=0,"Same day","Overnight"))</f>
        <v/>
      </c>
      <c r="X207" s="18" t="str">
        <f aca="false">IF(OR(E207="",F207=""),"",IF(AND(E207&gt;=F207,OR(P207="",E207&lt;=P207)),"Yes","No"))</f>
        <v/>
      </c>
      <c r="Y207" s="20" t="str">
        <f aca="false">IF(A207="","",N(G207)-N(L207)-N(N207))</f>
        <v/>
      </c>
      <c r="Z207" s="21" t="str">
        <f aca="false">IF(OR(G207="",H207="",I207=""),"",ABS(H207-I207)*G207)</f>
        <v/>
      </c>
      <c r="AA207" s="22" t="str">
        <f aca="false">IF(OR(J207="",N(Z207)=0),"",ABS(J207-H207)/ABS(H207-I207))</f>
        <v/>
      </c>
      <c r="AB207" s="23" t="str">
        <f aca="false">IF(U207&lt;&gt;"Closed","",(N(L207)*N(M207)+N(N207)*N(O207)+Y207*Q207)/G207)</f>
        <v/>
      </c>
      <c r="AC207" s="24" t="str">
        <f aca="false">IF(U207&lt;&gt;"Closed","",IF($B207="Short",-1,1)*((N(M207)-H207)*N(L207)+(N(O207)-H207)*N(N207)+(Q207-H207)*Y207)-N(R207))</f>
        <v/>
      </c>
      <c r="AD207" s="25" t="str">
        <f aca="false">IF(OR(AC207="",N(Z207)=0),"",AC207/Z207)</f>
        <v/>
      </c>
      <c r="AE207" s="25" t="str">
        <f aca="false">IF(OR(S207="",N(Z207)=0),"",IF($B207="Short",-1,1)*(S207-H207)*G207/Z207)</f>
        <v/>
      </c>
      <c r="AF207" s="25" t="str">
        <f aca="false">IF(OR(T207="",N(Z207)=0),"",IF($B207="Short",-1,1)*(T207-H207)*G207/Z207)</f>
        <v/>
      </c>
      <c r="AG207" s="21" t="str">
        <f aca="false">IF(U207&lt;&gt;"Open","",Y207*MAX(0,IF($B207="Short",-1,1)*(H207-IF(K207="",I207,K207))))</f>
        <v/>
      </c>
      <c r="AH207" s="26" t="str">
        <f aca="false">IF(U207&lt;&gt;"Closed","",DATE(YEAR(P207),MONTH(P207),1))</f>
        <v/>
      </c>
      <c r="AI207" s="19" t="str">
        <f aca="false">IF(U207&lt;&gt;"Closed","",COUNTIFS($U$7:$U$506,"Closed",$P$7:$P$506,"&lt;"&amp;P207)+COUNTIFS($U$7:U207,"Closed",$P$7:P207,P207))</f>
        <v/>
      </c>
    </row>
    <row r="208" customFormat="false" ht="15" hidden="false" customHeight="false" outlineLevel="0" collapsed="false">
      <c r="A208" s="13"/>
      <c r="B208" s="14"/>
      <c r="C208" s="14"/>
      <c r="D208" s="14"/>
      <c r="E208" s="15"/>
      <c r="F208" s="15"/>
      <c r="G208" s="16"/>
      <c r="H208" s="17"/>
      <c r="I208" s="17"/>
      <c r="J208" s="17"/>
      <c r="K208" s="17"/>
      <c r="L208" s="16"/>
      <c r="M208" s="17"/>
      <c r="N208" s="16"/>
      <c r="O208" s="17"/>
      <c r="P208" s="15"/>
      <c r="Q208" s="17"/>
      <c r="R208" s="17"/>
      <c r="S208" s="17"/>
      <c r="T208" s="17"/>
      <c r="U208" s="18" t="str">
        <f aca="false">IF(A208="","",IF(N(G208)-N(L208)-N(N208)&lt;0,"Check shares",IF(AND(P208&lt;&gt;"",Q208&lt;&gt;""),"Closed","Open")))</f>
        <v/>
      </c>
      <c r="V208" s="19" t="str">
        <f aca="false">IF(OR(F208="",P208=""),"",NETWORKDAYS(F208,P208,Lists!$F$5:$F$40)-1)</f>
        <v/>
      </c>
      <c r="W208" s="18" t="str">
        <f aca="false">IF(V208="","",IF(V208=0,"Same day","Overnight"))</f>
        <v/>
      </c>
      <c r="X208" s="18" t="str">
        <f aca="false">IF(OR(E208="",F208=""),"",IF(AND(E208&gt;=F208,OR(P208="",E208&lt;=P208)),"Yes","No"))</f>
        <v/>
      </c>
      <c r="Y208" s="20" t="str">
        <f aca="false">IF(A208="","",N(G208)-N(L208)-N(N208))</f>
        <v/>
      </c>
      <c r="Z208" s="21" t="str">
        <f aca="false">IF(OR(G208="",H208="",I208=""),"",ABS(H208-I208)*G208)</f>
        <v/>
      </c>
      <c r="AA208" s="22" t="str">
        <f aca="false">IF(OR(J208="",N(Z208)=0),"",ABS(J208-H208)/ABS(H208-I208))</f>
        <v/>
      </c>
      <c r="AB208" s="23" t="str">
        <f aca="false">IF(U208&lt;&gt;"Closed","",(N(L208)*N(M208)+N(N208)*N(O208)+Y208*Q208)/G208)</f>
        <v/>
      </c>
      <c r="AC208" s="24" t="str">
        <f aca="false">IF(U208&lt;&gt;"Closed","",IF($B208="Short",-1,1)*((N(M208)-H208)*N(L208)+(N(O208)-H208)*N(N208)+(Q208-H208)*Y208)-N(R208))</f>
        <v/>
      </c>
      <c r="AD208" s="25" t="str">
        <f aca="false">IF(OR(AC208="",N(Z208)=0),"",AC208/Z208)</f>
        <v/>
      </c>
      <c r="AE208" s="25" t="str">
        <f aca="false">IF(OR(S208="",N(Z208)=0),"",IF($B208="Short",-1,1)*(S208-H208)*G208/Z208)</f>
        <v/>
      </c>
      <c r="AF208" s="25" t="str">
        <f aca="false">IF(OR(T208="",N(Z208)=0),"",IF($B208="Short",-1,1)*(T208-H208)*G208/Z208)</f>
        <v/>
      </c>
      <c r="AG208" s="21" t="str">
        <f aca="false">IF(U208&lt;&gt;"Open","",Y208*MAX(0,IF($B208="Short",-1,1)*(H208-IF(K208="",I208,K208))))</f>
        <v/>
      </c>
      <c r="AH208" s="26" t="str">
        <f aca="false">IF(U208&lt;&gt;"Closed","",DATE(YEAR(P208),MONTH(P208),1))</f>
        <v/>
      </c>
      <c r="AI208" s="19" t="str">
        <f aca="false">IF(U208&lt;&gt;"Closed","",COUNTIFS($U$7:$U$506,"Closed",$P$7:$P$506,"&lt;"&amp;P208)+COUNTIFS($U$7:U208,"Closed",$P$7:P208,P208))</f>
        <v/>
      </c>
    </row>
    <row r="209" customFormat="false" ht="15" hidden="false" customHeight="false" outlineLevel="0" collapsed="false">
      <c r="A209" s="13"/>
      <c r="B209" s="14"/>
      <c r="C209" s="14"/>
      <c r="D209" s="14"/>
      <c r="E209" s="15"/>
      <c r="F209" s="15"/>
      <c r="G209" s="16"/>
      <c r="H209" s="17"/>
      <c r="I209" s="17"/>
      <c r="J209" s="17"/>
      <c r="K209" s="17"/>
      <c r="L209" s="16"/>
      <c r="M209" s="17"/>
      <c r="N209" s="16"/>
      <c r="O209" s="17"/>
      <c r="P209" s="15"/>
      <c r="Q209" s="17"/>
      <c r="R209" s="17"/>
      <c r="S209" s="17"/>
      <c r="T209" s="17"/>
      <c r="U209" s="18" t="str">
        <f aca="false">IF(A209="","",IF(N(G209)-N(L209)-N(N209)&lt;0,"Check shares",IF(AND(P209&lt;&gt;"",Q209&lt;&gt;""),"Closed","Open")))</f>
        <v/>
      </c>
      <c r="V209" s="19" t="str">
        <f aca="false">IF(OR(F209="",P209=""),"",NETWORKDAYS(F209,P209,Lists!$F$5:$F$40)-1)</f>
        <v/>
      </c>
      <c r="W209" s="18" t="str">
        <f aca="false">IF(V209="","",IF(V209=0,"Same day","Overnight"))</f>
        <v/>
      </c>
      <c r="X209" s="18" t="str">
        <f aca="false">IF(OR(E209="",F209=""),"",IF(AND(E209&gt;=F209,OR(P209="",E209&lt;=P209)),"Yes","No"))</f>
        <v/>
      </c>
      <c r="Y209" s="20" t="str">
        <f aca="false">IF(A209="","",N(G209)-N(L209)-N(N209))</f>
        <v/>
      </c>
      <c r="Z209" s="21" t="str">
        <f aca="false">IF(OR(G209="",H209="",I209=""),"",ABS(H209-I209)*G209)</f>
        <v/>
      </c>
      <c r="AA209" s="22" t="str">
        <f aca="false">IF(OR(J209="",N(Z209)=0),"",ABS(J209-H209)/ABS(H209-I209))</f>
        <v/>
      </c>
      <c r="AB209" s="23" t="str">
        <f aca="false">IF(U209&lt;&gt;"Closed","",(N(L209)*N(M209)+N(N209)*N(O209)+Y209*Q209)/G209)</f>
        <v/>
      </c>
      <c r="AC209" s="24" t="str">
        <f aca="false">IF(U209&lt;&gt;"Closed","",IF($B209="Short",-1,1)*((N(M209)-H209)*N(L209)+(N(O209)-H209)*N(N209)+(Q209-H209)*Y209)-N(R209))</f>
        <v/>
      </c>
      <c r="AD209" s="25" t="str">
        <f aca="false">IF(OR(AC209="",N(Z209)=0),"",AC209/Z209)</f>
        <v/>
      </c>
      <c r="AE209" s="25" t="str">
        <f aca="false">IF(OR(S209="",N(Z209)=0),"",IF($B209="Short",-1,1)*(S209-H209)*G209/Z209)</f>
        <v/>
      </c>
      <c r="AF209" s="25" t="str">
        <f aca="false">IF(OR(T209="",N(Z209)=0),"",IF($B209="Short",-1,1)*(T209-H209)*G209/Z209)</f>
        <v/>
      </c>
      <c r="AG209" s="21" t="str">
        <f aca="false">IF(U209&lt;&gt;"Open","",Y209*MAX(0,IF($B209="Short",-1,1)*(H209-IF(K209="",I209,K209))))</f>
        <v/>
      </c>
      <c r="AH209" s="26" t="str">
        <f aca="false">IF(U209&lt;&gt;"Closed","",DATE(YEAR(P209),MONTH(P209),1))</f>
        <v/>
      </c>
      <c r="AI209" s="19" t="str">
        <f aca="false">IF(U209&lt;&gt;"Closed","",COUNTIFS($U$7:$U$506,"Closed",$P$7:$P$506,"&lt;"&amp;P209)+COUNTIFS($U$7:U209,"Closed",$P$7:P209,P209))</f>
        <v/>
      </c>
    </row>
    <row r="210" customFormat="false" ht="15" hidden="false" customHeight="false" outlineLevel="0" collapsed="false">
      <c r="A210" s="13"/>
      <c r="B210" s="14"/>
      <c r="C210" s="14"/>
      <c r="D210" s="14"/>
      <c r="E210" s="15"/>
      <c r="F210" s="15"/>
      <c r="G210" s="16"/>
      <c r="H210" s="17"/>
      <c r="I210" s="17"/>
      <c r="J210" s="17"/>
      <c r="K210" s="17"/>
      <c r="L210" s="16"/>
      <c r="M210" s="17"/>
      <c r="N210" s="16"/>
      <c r="O210" s="17"/>
      <c r="P210" s="15"/>
      <c r="Q210" s="17"/>
      <c r="R210" s="17"/>
      <c r="S210" s="17"/>
      <c r="T210" s="17"/>
      <c r="U210" s="18" t="str">
        <f aca="false">IF(A210="","",IF(N(G210)-N(L210)-N(N210)&lt;0,"Check shares",IF(AND(P210&lt;&gt;"",Q210&lt;&gt;""),"Closed","Open")))</f>
        <v/>
      </c>
      <c r="V210" s="19" t="str">
        <f aca="false">IF(OR(F210="",P210=""),"",NETWORKDAYS(F210,P210,Lists!$F$5:$F$40)-1)</f>
        <v/>
      </c>
      <c r="W210" s="18" t="str">
        <f aca="false">IF(V210="","",IF(V210=0,"Same day","Overnight"))</f>
        <v/>
      </c>
      <c r="X210" s="18" t="str">
        <f aca="false">IF(OR(E210="",F210=""),"",IF(AND(E210&gt;=F210,OR(P210="",E210&lt;=P210)),"Yes","No"))</f>
        <v/>
      </c>
      <c r="Y210" s="20" t="str">
        <f aca="false">IF(A210="","",N(G210)-N(L210)-N(N210))</f>
        <v/>
      </c>
      <c r="Z210" s="21" t="str">
        <f aca="false">IF(OR(G210="",H210="",I210=""),"",ABS(H210-I210)*G210)</f>
        <v/>
      </c>
      <c r="AA210" s="22" t="str">
        <f aca="false">IF(OR(J210="",N(Z210)=0),"",ABS(J210-H210)/ABS(H210-I210))</f>
        <v/>
      </c>
      <c r="AB210" s="23" t="str">
        <f aca="false">IF(U210&lt;&gt;"Closed","",(N(L210)*N(M210)+N(N210)*N(O210)+Y210*Q210)/G210)</f>
        <v/>
      </c>
      <c r="AC210" s="24" t="str">
        <f aca="false">IF(U210&lt;&gt;"Closed","",IF($B210="Short",-1,1)*((N(M210)-H210)*N(L210)+(N(O210)-H210)*N(N210)+(Q210-H210)*Y210)-N(R210))</f>
        <v/>
      </c>
      <c r="AD210" s="25" t="str">
        <f aca="false">IF(OR(AC210="",N(Z210)=0),"",AC210/Z210)</f>
        <v/>
      </c>
      <c r="AE210" s="25" t="str">
        <f aca="false">IF(OR(S210="",N(Z210)=0),"",IF($B210="Short",-1,1)*(S210-H210)*G210/Z210)</f>
        <v/>
      </c>
      <c r="AF210" s="25" t="str">
        <f aca="false">IF(OR(T210="",N(Z210)=0),"",IF($B210="Short",-1,1)*(T210-H210)*G210/Z210)</f>
        <v/>
      </c>
      <c r="AG210" s="21" t="str">
        <f aca="false">IF(U210&lt;&gt;"Open","",Y210*MAX(0,IF($B210="Short",-1,1)*(H210-IF(K210="",I210,K210))))</f>
        <v/>
      </c>
      <c r="AH210" s="26" t="str">
        <f aca="false">IF(U210&lt;&gt;"Closed","",DATE(YEAR(P210),MONTH(P210),1))</f>
        <v/>
      </c>
      <c r="AI210" s="19" t="str">
        <f aca="false">IF(U210&lt;&gt;"Closed","",COUNTIFS($U$7:$U$506,"Closed",$P$7:$P$506,"&lt;"&amp;P210)+COUNTIFS($U$7:U210,"Closed",$P$7:P210,P210))</f>
        <v/>
      </c>
    </row>
    <row r="211" customFormat="false" ht="15" hidden="false" customHeight="false" outlineLevel="0" collapsed="false">
      <c r="A211" s="13"/>
      <c r="B211" s="14"/>
      <c r="C211" s="14"/>
      <c r="D211" s="14"/>
      <c r="E211" s="15"/>
      <c r="F211" s="15"/>
      <c r="G211" s="16"/>
      <c r="H211" s="17"/>
      <c r="I211" s="17"/>
      <c r="J211" s="17"/>
      <c r="K211" s="17"/>
      <c r="L211" s="16"/>
      <c r="M211" s="17"/>
      <c r="N211" s="16"/>
      <c r="O211" s="17"/>
      <c r="P211" s="15"/>
      <c r="Q211" s="17"/>
      <c r="R211" s="17"/>
      <c r="S211" s="17"/>
      <c r="T211" s="17"/>
      <c r="U211" s="18" t="str">
        <f aca="false">IF(A211="","",IF(N(G211)-N(L211)-N(N211)&lt;0,"Check shares",IF(AND(P211&lt;&gt;"",Q211&lt;&gt;""),"Closed","Open")))</f>
        <v/>
      </c>
      <c r="V211" s="19" t="str">
        <f aca="false">IF(OR(F211="",P211=""),"",NETWORKDAYS(F211,P211,Lists!$F$5:$F$40)-1)</f>
        <v/>
      </c>
      <c r="W211" s="18" t="str">
        <f aca="false">IF(V211="","",IF(V211=0,"Same day","Overnight"))</f>
        <v/>
      </c>
      <c r="X211" s="18" t="str">
        <f aca="false">IF(OR(E211="",F211=""),"",IF(AND(E211&gt;=F211,OR(P211="",E211&lt;=P211)),"Yes","No"))</f>
        <v/>
      </c>
      <c r="Y211" s="20" t="str">
        <f aca="false">IF(A211="","",N(G211)-N(L211)-N(N211))</f>
        <v/>
      </c>
      <c r="Z211" s="21" t="str">
        <f aca="false">IF(OR(G211="",H211="",I211=""),"",ABS(H211-I211)*G211)</f>
        <v/>
      </c>
      <c r="AA211" s="22" t="str">
        <f aca="false">IF(OR(J211="",N(Z211)=0),"",ABS(J211-H211)/ABS(H211-I211))</f>
        <v/>
      </c>
      <c r="AB211" s="23" t="str">
        <f aca="false">IF(U211&lt;&gt;"Closed","",(N(L211)*N(M211)+N(N211)*N(O211)+Y211*Q211)/G211)</f>
        <v/>
      </c>
      <c r="AC211" s="24" t="str">
        <f aca="false">IF(U211&lt;&gt;"Closed","",IF($B211="Short",-1,1)*((N(M211)-H211)*N(L211)+(N(O211)-H211)*N(N211)+(Q211-H211)*Y211)-N(R211))</f>
        <v/>
      </c>
      <c r="AD211" s="25" t="str">
        <f aca="false">IF(OR(AC211="",N(Z211)=0),"",AC211/Z211)</f>
        <v/>
      </c>
      <c r="AE211" s="25" t="str">
        <f aca="false">IF(OR(S211="",N(Z211)=0),"",IF($B211="Short",-1,1)*(S211-H211)*G211/Z211)</f>
        <v/>
      </c>
      <c r="AF211" s="25" t="str">
        <f aca="false">IF(OR(T211="",N(Z211)=0),"",IF($B211="Short",-1,1)*(T211-H211)*G211/Z211)</f>
        <v/>
      </c>
      <c r="AG211" s="21" t="str">
        <f aca="false">IF(U211&lt;&gt;"Open","",Y211*MAX(0,IF($B211="Short",-1,1)*(H211-IF(K211="",I211,K211))))</f>
        <v/>
      </c>
      <c r="AH211" s="26" t="str">
        <f aca="false">IF(U211&lt;&gt;"Closed","",DATE(YEAR(P211),MONTH(P211),1))</f>
        <v/>
      </c>
      <c r="AI211" s="19" t="str">
        <f aca="false">IF(U211&lt;&gt;"Closed","",COUNTIFS($U$7:$U$506,"Closed",$P$7:$P$506,"&lt;"&amp;P211)+COUNTIFS($U$7:U211,"Closed",$P$7:P211,P211))</f>
        <v/>
      </c>
    </row>
    <row r="212" customFormat="false" ht="15" hidden="false" customHeight="false" outlineLevel="0" collapsed="false">
      <c r="A212" s="13"/>
      <c r="B212" s="14"/>
      <c r="C212" s="14"/>
      <c r="D212" s="14"/>
      <c r="E212" s="15"/>
      <c r="F212" s="15"/>
      <c r="G212" s="16"/>
      <c r="H212" s="17"/>
      <c r="I212" s="17"/>
      <c r="J212" s="17"/>
      <c r="K212" s="17"/>
      <c r="L212" s="16"/>
      <c r="M212" s="17"/>
      <c r="N212" s="16"/>
      <c r="O212" s="17"/>
      <c r="P212" s="15"/>
      <c r="Q212" s="17"/>
      <c r="R212" s="17"/>
      <c r="S212" s="17"/>
      <c r="T212" s="17"/>
      <c r="U212" s="18" t="str">
        <f aca="false">IF(A212="","",IF(N(G212)-N(L212)-N(N212)&lt;0,"Check shares",IF(AND(P212&lt;&gt;"",Q212&lt;&gt;""),"Closed","Open")))</f>
        <v/>
      </c>
      <c r="V212" s="19" t="str">
        <f aca="false">IF(OR(F212="",P212=""),"",NETWORKDAYS(F212,P212,Lists!$F$5:$F$40)-1)</f>
        <v/>
      </c>
      <c r="W212" s="18" t="str">
        <f aca="false">IF(V212="","",IF(V212=0,"Same day","Overnight"))</f>
        <v/>
      </c>
      <c r="X212" s="18" t="str">
        <f aca="false">IF(OR(E212="",F212=""),"",IF(AND(E212&gt;=F212,OR(P212="",E212&lt;=P212)),"Yes","No"))</f>
        <v/>
      </c>
      <c r="Y212" s="20" t="str">
        <f aca="false">IF(A212="","",N(G212)-N(L212)-N(N212))</f>
        <v/>
      </c>
      <c r="Z212" s="21" t="str">
        <f aca="false">IF(OR(G212="",H212="",I212=""),"",ABS(H212-I212)*G212)</f>
        <v/>
      </c>
      <c r="AA212" s="22" t="str">
        <f aca="false">IF(OR(J212="",N(Z212)=0),"",ABS(J212-H212)/ABS(H212-I212))</f>
        <v/>
      </c>
      <c r="AB212" s="23" t="str">
        <f aca="false">IF(U212&lt;&gt;"Closed","",(N(L212)*N(M212)+N(N212)*N(O212)+Y212*Q212)/G212)</f>
        <v/>
      </c>
      <c r="AC212" s="24" t="str">
        <f aca="false">IF(U212&lt;&gt;"Closed","",IF($B212="Short",-1,1)*((N(M212)-H212)*N(L212)+(N(O212)-H212)*N(N212)+(Q212-H212)*Y212)-N(R212))</f>
        <v/>
      </c>
      <c r="AD212" s="25" t="str">
        <f aca="false">IF(OR(AC212="",N(Z212)=0),"",AC212/Z212)</f>
        <v/>
      </c>
      <c r="AE212" s="25" t="str">
        <f aca="false">IF(OR(S212="",N(Z212)=0),"",IF($B212="Short",-1,1)*(S212-H212)*G212/Z212)</f>
        <v/>
      </c>
      <c r="AF212" s="25" t="str">
        <f aca="false">IF(OR(T212="",N(Z212)=0),"",IF($B212="Short",-1,1)*(T212-H212)*G212/Z212)</f>
        <v/>
      </c>
      <c r="AG212" s="21" t="str">
        <f aca="false">IF(U212&lt;&gt;"Open","",Y212*MAX(0,IF($B212="Short",-1,1)*(H212-IF(K212="",I212,K212))))</f>
        <v/>
      </c>
      <c r="AH212" s="26" t="str">
        <f aca="false">IF(U212&lt;&gt;"Closed","",DATE(YEAR(P212),MONTH(P212),1))</f>
        <v/>
      </c>
      <c r="AI212" s="19" t="str">
        <f aca="false">IF(U212&lt;&gt;"Closed","",COUNTIFS($U$7:$U$506,"Closed",$P$7:$P$506,"&lt;"&amp;P212)+COUNTIFS($U$7:U212,"Closed",$P$7:P212,P212))</f>
        <v/>
      </c>
    </row>
    <row r="213" customFormat="false" ht="15" hidden="false" customHeight="false" outlineLevel="0" collapsed="false">
      <c r="A213" s="13"/>
      <c r="B213" s="14"/>
      <c r="C213" s="14"/>
      <c r="D213" s="14"/>
      <c r="E213" s="15"/>
      <c r="F213" s="15"/>
      <c r="G213" s="16"/>
      <c r="H213" s="17"/>
      <c r="I213" s="17"/>
      <c r="J213" s="17"/>
      <c r="K213" s="17"/>
      <c r="L213" s="16"/>
      <c r="M213" s="17"/>
      <c r="N213" s="16"/>
      <c r="O213" s="17"/>
      <c r="P213" s="15"/>
      <c r="Q213" s="17"/>
      <c r="R213" s="17"/>
      <c r="S213" s="17"/>
      <c r="T213" s="17"/>
      <c r="U213" s="18" t="str">
        <f aca="false">IF(A213="","",IF(N(G213)-N(L213)-N(N213)&lt;0,"Check shares",IF(AND(P213&lt;&gt;"",Q213&lt;&gt;""),"Closed","Open")))</f>
        <v/>
      </c>
      <c r="V213" s="19" t="str">
        <f aca="false">IF(OR(F213="",P213=""),"",NETWORKDAYS(F213,P213,Lists!$F$5:$F$40)-1)</f>
        <v/>
      </c>
      <c r="W213" s="18" t="str">
        <f aca="false">IF(V213="","",IF(V213=0,"Same day","Overnight"))</f>
        <v/>
      </c>
      <c r="X213" s="18" t="str">
        <f aca="false">IF(OR(E213="",F213=""),"",IF(AND(E213&gt;=F213,OR(P213="",E213&lt;=P213)),"Yes","No"))</f>
        <v/>
      </c>
      <c r="Y213" s="20" t="str">
        <f aca="false">IF(A213="","",N(G213)-N(L213)-N(N213))</f>
        <v/>
      </c>
      <c r="Z213" s="21" t="str">
        <f aca="false">IF(OR(G213="",H213="",I213=""),"",ABS(H213-I213)*G213)</f>
        <v/>
      </c>
      <c r="AA213" s="22" t="str">
        <f aca="false">IF(OR(J213="",N(Z213)=0),"",ABS(J213-H213)/ABS(H213-I213))</f>
        <v/>
      </c>
      <c r="AB213" s="23" t="str">
        <f aca="false">IF(U213&lt;&gt;"Closed","",(N(L213)*N(M213)+N(N213)*N(O213)+Y213*Q213)/G213)</f>
        <v/>
      </c>
      <c r="AC213" s="24" t="str">
        <f aca="false">IF(U213&lt;&gt;"Closed","",IF($B213="Short",-1,1)*((N(M213)-H213)*N(L213)+(N(O213)-H213)*N(N213)+(Q213-H213)*Y213)-N(R213))</f>
        <v/>
      </c>
      <c r="AD213" s="25" t="str">
        <f aca="false">IF(OR(AC213="",N(Z213)=0),"",AC213/Z213)</f>
        <v/>
      </c>
      <c r="AE213" s="25" t="str">
        <f aca="false">IF(OR(S213="",N(Z213)=0),"",IF($B213="Short",-1,1)*(S213-H213)*G213/Z213)</f>
        <v/>
      </c>
      <c r="AF213" s="25" t="str">
        <f aca="false">IF(OR(T213="",N(Z213)=0),"",IF($B213="Short",-1,1)*(T213-H213)*G213/Z213)</f>
        <v/>
      </c>
      <c r="AG213" s="21" t="str">
        <f aca="false">IF(U213&lt;&gt;"Open","",Y213*MAX(0,IF($B213="Short",-1,1)*(H213-IF(K213="",I213,K213))))</f>
        <v/>
      </c>
      <c r="AH213" s="26" t="str">
        <f aca="false">IF(U213&lt;&gt;"Closed","",DATE(YEAR(P213),MONTH(P213),1))</f>
        <v/>
      </c>
      <c r="AI213" s="19" t="str">
        <f aca="false">IF(U213&lt;&gt;"Closed","",COUNTIFS($U$7:$U$506,"Closed",$P$7:$P$506,"&lt;"&amp;P213)+COUNTIFS($U$7:U213,"Closed",$P$7:P213,P213))</f>
        <v/>
      </c>
    </row>
    <row r="214" customFormat="false" ht="15" hidden="false" customHeight="false" outlineLevel="0" collapsed="false">
      <c r="A214" s="13"/>
      <c r="B214" s="14"/>
      <c r="C214" s="14"/>
      <c r="D214" s="14"/>
      <c r="E214" s="15"/>
      <c r="F214" s="15"/>
      <c r="G214" s="16"/>
      <c r="H214" s="17"/>
      <c r="I214" s="17"/>
      <c r="J214" s="17"/>
      <c r="K214" s="17"/>
      <c r="L214" s="16"/>
      <c r="M214" s="17"/>
      <c r="N214" s="16"/>
      <c r="O214" s="17"/>
      <c r="P214" s="15"/>
      <c r="Q214" s="17"/>
      <c r="R214" s="17"/>
      <c r="S214" s="17"/>
      <c r="T214" s="17"/>
      <c r="U214" s="18" t="str">
        <f aca="false">IF(A214="","",IF(N(G214)-N(L214)-N(N214)&lt;0,"Check shares",IF(AND(P214&lt;&gt;"",Q214&lt;&gt;""),"Closed","Open")))</f>
        <v/>
      </c>
      <c r="V214" s="19" t="str">
        <f aca="false">IF(OR(F214="",P214=""),"",NETWORKDAYS(F214,P214,Lists!$F$5:$F$40)-1)</f>
        <v/>
      </c>
      <c r="W214" s="18" t="str">
        <f aca="false">IF(V214="","",IF(V214=0,"Same day","Overnight"))</f>
        <v/>
      </c>
      <c r="X214" s="18" t="str">
        <f aca="false">IF(OR(E214="",F214=""),"",IF(AND(E214&gt;=F214,OR(P214="",E214&lt;=P214)),"Yes","No"))</f>
        <v/>
      </c>
      <c r="Y214" s="20" t="str">
        <f aca="false">IF(A214="","",N(G214)-N(L214)-N(N214))</f>
        <v/>
      </c>
      <c r="Z214" s="21" t="str">
        <f aca="false">IF(OR(G214="",H214="",I214=""),"",ABS(H214-I214)*G214)</f>
        <v/>
      </c>
      <c r="AA214" s="22" t="str">
        <f aca="false">IF(OR(J214="",N(Z214)=0),"",ABS(J214-H214)/ABS(H214-I214))</f>
        <v/>
      </c>
      <c r="AB214" s="23" t="str">
        <f aca="false">IF(U214&lt;&gt;"Closed","",(N(L214)*N(M214)+N(N214)*N(O214)+Y214*Q214)/G214)</f>
        <v/>
      </c>
      <c r="AC214" s="24" t="str">
        <f aca="false">IF(U214&lt;&gt;"Closed","",IF($B214="Short",-1,1)*((N(M214)-H214)*N(L214)+(N(O214)-H214)*N(N214)+(Q214-H214)*Y214)-N(R214))</f>
        <v/>
      </c>
      <c r="AD214" s="25" t="str">
        <f aca="false">IF(OR(AC214="",N(Z214)=0),"",AC214/Z214)</f>
        <v/>
      </c>
      <c r="AE214" s="25" t="str">
        <f aca="false">IF(OR(S214="",N(Z214)=0),"",IF($B214="Short",-1,1)*(S214-H214)*G214/Z214)</f>
        <v/>
      </c>
      <c r="AF214" s="25" t="str">
        <f aca="false">IF(OR(T214="",N(Z214)=0),"",IF($B214="Short",-1,1)*(T214-H214)*G214/Z214)</f>
        <v/>
      </c>
      <c r="AG214" s="21" t="str">
        <f aca="false">IF(U214&lt;&gt;"Open","",Y214*MAX(0,IF($B214="Short",-1,1)*(H214-IF(K214="",I214,K214))))</f>
        <v/>
      </c>
      <c r="AH214" s="26" t="str">
        <f aca="false">IF(U214&lt;&gt;"Closed","",DATE(YEAR(P214),MONTH(P214),1))</f>
        <v/>
      </c>
      <c r="AI214" s="19" t="str">
        <f aca="false">IF(U214&lt;&gt;"Closed","",COUNTIFS($U$7:$U$506,"Closed",$P$7:$P$506,"&lt;"&amp;P214)+COUNTIFS($U$7:U214,"Closed",$P$7:P214,P214))</f>
        <v/>
      </c>
    </row>
    <row r="215" customFormat="false" ht="15" hidden="false" customHeight="false" outlineLevel="0" collapsed="false">
      <c r="A215" s="13"/>
      <c r="B215" s="14"/>
      <c r="C215" s="14"/>
      <c r="D215" s="14"/>
      <c r="E215" s="15"/>
      <c r="F215" s="15"/>
      <c r="G215" s="16"/>
      <c r="H215" s="17"/>
      <c r="I215" s="17"/>
      <c r="J215" s="17"/>
      <c r="K215" s="17"/>
      <c r="L215" s="16"/>
      <c r="M215" s="17"/>
      <c r="N215" s="16"/>
      <c r="O215" s="17"/>
      <c r="P215" s="15"/>
      <c r="Q215" s="17"/>
      <c r="R215" s="17"/>
      <c r="S215" s="17"/>
      <c r="T215" s="17"/>
      <c r="U215" s="18" t="str">
        <f aca="false">IF(A215="","",IF(N(G215)-N(L215)-N(N215)&lt;0,"Check shares",IF(AND(P215&lt;&gt;"",Q215&lt;&gt;""),"Closed","Open")))</f>
        <v/>
      </c>
      <c r="V215" s="19" t="str">
        <f aca="false">IF(OR(F215="",P215=""),"",NETWORKDAYS(F215,P215,Lists!$F$5:$F$40)-1)</f>
        <v/>
      </c>
      <c r="W215" s="18" t="str">
        <f aca="false">IF(V215="","",IF(V215=0,"Same day","Overnight"))</f>
        <v/>
      </c>
      <c r="X215" s="18" t="str">
        <f aca="false">IF(OR(E215="",F215=""),"",IF(AND(E215&gt;=F215,OR(P215="",E215&lt;=P215)),"Yes","No"))</f>
        <v/>
      </c>
      <c r="Y215" s="20" t="str">
        <f aca="false">IF(A215="","",N(G215)-N(L215)-N(N215))</f>
        <v/>
      </c>
      <c r="Z215" s="21" t="str">
        <f aca="false">IF(OR(G215="",H215="",I215=""),"",ABS(H215-I215)*G215)</f>
        <v/>
      </c>
      <c r="AA215" s="22" t="str">
        <f aca="false">IF(OR(J215="",N(Z215)=0),"",ABS(J215-H215)/ABS(H215-I215))</f>
        <v/>
      </c>
      <c r="AB215" s="23" t="str">
        <f aca="false">IF(U215&lt;&gt;"Closed","",(N(L215)*N(M215)+N(N215)*N(O215)+Y215*Q215)/G215)</f>
        <v/>
      </c>
      <c r="AC215" s="24" t="str">
        <f aca="false">IF(U215&lt;&gt;"Closed","",IF($B215="Short",-1,1)*((N(M215)-H215)*N(L215)+(N(O215)-H215)*N(N215)+(Q215-H215)*Y215)-N(R215))</f>
        <v/>
      </c>
      <c r="AD215" s="25" t="str">
        <f aca="false">IF(OR(AC215="",N(Z215)=0),"",AC215/Z215)</f>
        <v/>
      </c>
      <c r="AE215" s="25" t="str">
        <f aca="false">IF(OR(S215="",N(Z215)=0),"",IF($B215="Short",-1,1)*(S215-H215)*G215/Z215)</f>
        <v/>
      </c>
      <c r="AF215" s="25" t="str">
        <f aca="false">IF(OR(T215="",N(Z215)=0),"",IF($B215="Short",-1,1)*(T215-H215)*G215/Z215)</f>
        <v/>
      </c>
      <c r="AG215" s="21" t="str">
        <f aca="false">IF(U215&lt;&gt;"Open","",Y215*MAX(0,IF($B215="Short",-1,1)*(H215-IF(K215="",I215,K215))))</f>
        <v/>
      </c>
      <c r="AH215" s="26" t="str">
        <f aca="false">IF(U215&lt;&gt;"Closed","",DATE(YEAR(P215),MONTH(P215),1))</f>
        <v/>
      </c>
      <c r="AI215" s="19" t="str">
        <f aca="false">IF(U215&lt;&gt;"Closed","",COUNTIFS($U$7:$U$506,"Closed",$P$7:$P$506,"&lt;"&amp;P215)+COUNTIFS($U$7:U215,"Closed",$P$7:P215,P215))</f>
        <v/>
      </c>
    </row>
    <row r="216" customFormat="false" ht="15" hidden="false" customHeight="false" outlineLevel="0" collapsed="false">
      <c r="A216" s="13"/>
      <c r="B216" s="14"/>
      <c r="C216" s="14"/>
      <c r="D216" s="14"/>
      <c r="E216" s="15"/>
      <c r="F216" s="15"/>
      <c r="G216" s="16"/>
      <c r="H216" s="17"/>
      <c r="I216" s="17"/>
      <c r="J216" s="17"/>
      <c r="K216" s="17"/>
      <c r="L216" s="16"/>
      <c r="M216" s="17"/>
      <c r="N216" s="16"/>
      <c r="O216" s="17"/>
      <c r="P216" s="15"/>
      <c r="Q216" s="17"/>
      <c r="R216" s="17"/>
      <c r="S216" s="17"/>
      <c r="T216" s="17"/>
      <c r="U216" s="18" t="str">
        <f aca="false">IF(A216="","",IF(N(G216)-N(L216)-N(N216)&lt;0,"Check shares",IF(AND(P216&lt;&gt;"",Q216&lt;&gt;""),"Closed","Open")))</f>
        <v/>
      </c>
      <c r="V216" s="19" t="str">
        <f aca="false">IF(OR(F216="",P216=""),"",NETWORKDAYS(F216,P216,Lists!$F$5:$F$40)-1)</f>
        <v/>
      </c>
      <c r="W216" s="18" t="str">
        <f aca="false">IF(V216="","",IF(V216=0,"Same day","Overnight"))</f>
        <v/>
      </c>
      <c r="X216" s="18" t="str">
        <f aca="false">IF(OR(E216="",F216=""),"",IF(AND(E216&gt;=F216,OR(P216="",E216&lt;=P216)),"Yes","No"))</f>
        <v/>
      </c>
      <c r="Y216" s="20" t="str">
        <f aca="false">IF(A216="","",N(G216)-N(L216)-N(N216))</f>
        <v/>
      </c>
      <c r="Z216" s="21" t="str">
        <f aca="false">IF(OR(G216="",H216="",I216=""),"",ABS(H216-I216)*G216)</f>
        <v/>
      </c>
      <c r="AA216" s="22" t="str">
        <f aca="false">IF(OR(J216="",N(Z216)=0),"",ABS(J216-H216)/ABS(H216-I216))</f>
        <v/>
      </c>
      <c r="AB216" s="23" t="str">
        <f aca="false">IF(U216&lt;&gt;"Closed","",(N(L216)*N(M216)+N(N216)*N(O216)+Y216*Q216)/G216)</f>
        <v/>
      </c>
      <c r="AC216" s="24" t="str">
        <f aca="false">IF(U216&lt;&gt;"Closed","",IF($B216="Short",-1,1)*((N(M216)-H216)*N(L216)+(N(O216)-H216)*N(N216)+(Q216-H216)*Y216)-N(R216))</f>
        <v/>
      </c>
      <c r="AD216" s="25" t="str">
        <f aca="false">IF(OR(AC216="",N(Z216)=0),"",AC216/Z216)</f>
        <v/>
      </c>
      <c r="AE216" s="25" t="str">
        <f aca="false">IF(OR(S216="",N(Z216)=0),"",IF($B216="Short",-1,1)*(S216-H216)*G216/Z216)</f>
        <v/>
      </c>
      <c r="AF216" s="25" t="str">
        <f aca="false">IF(OR(T216="",N(Z216)=0),"",IF($B216="Short",-1,1)*(T216-H216)*G216/Z216)</f>
        <v/>
      </c>
      <c r="AG216" s="21" t="str">
        <f aca="false">IF(U216&lt;&gt;"Open","",Y216*MAX(0,IF($B216="Short",-1,1)*(H216-IF(K216="",I216,K216))))</f>
        <v/>
      </c>
      <c r="AH216" s="26" t="str">
        <f aca="false">IF(U216&lt;&gt;"Closed","",DATE(YEAR(P216),MONTH(P216),1))</f>
        <v/>
      </c>
      <c r="AI216" s="19" t="str">
        <f aca="false">IF(U216&lt;&gt;"Closed","",COUNTIFS($U$7:$U$506,"Closed",$P$7:$P$506,"&lt;"&amp;P216)+COUNTIFS($U$7:U216,"Closed",$P$7:P216,P216))</f>
        <v/>
      </c>
    </row>
    <row r="217" customFormat="false" ht="15" hidden="false" customHeight="false" outlineLevel="0" collapsed="false">
      <c r="A217" s="13"/>
      <c r="B217" s="14"/>
      <c r="C217" s="14"/>
      <c r="D217" s="14"/>
      <c r="E217" s="15"/>
      <c r="F217" s="15"/>
      <c r="G217" s="16"/>
      <c r="H217" s="17"/>
      <c r="I217" s="17"/>
      <c r="J217" s="17"/>
      <c r="K217" s="17"/>
      <c r="L217" s="16"/>
      <c r="M217" s="17"/>
      <c r="N217" s="16"/>
      <c r="O217" s="17"/>
      <c r="P217" s="15"/>
      <c r="Q217" s="17"/>
      <c r="R217" s="17"/>
      <c r="S217" s="17"/>
      <c r="T217" s="17"/>
      <c r="U217" s="18" t="str">
        <f aca="false">IF(A217="","",IF(N(G217)-N(L217)-N(N217)&lt;0,"Check shares",IF(AND(P217&lt;&gt;"",Q217&lt;&gt;""),"Closed","Open")))</f>
        <v/>
      </c>
      <c r="V217" s="19" t="str">
        <f aca="false">IF(OR(F217="",P217=""),"",NETWORKDAYS(F217,P217,Lists!$F$5:$F$40)-1)</f>
        <v/>
      </c>
      <c r="W217" s="18" t="str">
        <f aca="false">IF(V217="","",IF(V217=0,"Same day","Overnight"))</f>
        <v/>
      </c>
      <c r="X217" s="18" t="str">
        <f aca="false">IF(OR(E217="",F217=""),"",IF(AND(E217&gt;=F217,OR(P217="",E217&lt;=P217)),"Yes","No"))</f>
        <v/>
      </c>
      <c r="Y217" s="20" t="str">
        <f aca="false">IF(A217="","",N(G217)-N(L217)-N(N217))</f>
        <v/>
      </c>
      <c r="Z217" s="21" t="str">
        <f aca="false">IF(OR(G217="",H217="",I217=""),"",ABS(H217-I217)*G217)</f>
        <v/>
      </c>
      <c r="AA217" s="22" t="str">
        <f aca="false">IF(OR(J217="",N(Z217)=0),"",ABS(J217-H217)/ABS(H217-I217))</f>
        <v/>
      </c>
      <c r="AB217" s="23" t="str">
        <f aca="false">IF(U217&lt;&gt;"Closed","",(N(L217)*N(M217)+N(N217)*N(O217)+Y217*Q217)/G217)</f>
        <v/>
      </c>
      <c r="AC217" s="24" t="str">
        <f aca="false">IF(U217&lt;&gt;"Closed","",IF($B217="Short",-1,1)*((N(M217)-H217)*N(L217)+(N(O217)-H217)*N(N217)+(Q217-H217)*Y217)-N(R217))</f>
        <v/>
      </c>
      <c r="AD217" s="25" t="str">
        <f aca="false">IF(OR(AC217="",N(Z217)=0),"",AC217/Z217)</f>
        <v/>
      </c>
      <c r="AE217" s="25" t="str">
        <f aca="false">IF(OR(S217="",N(Z217)=0),"",IF($B217="Short",-1,1)*(S217-H217)*G217/Z217)</f>
        <v/>
      </c>
      <c r="AF217" s="25" t="str">
        <f aca="false">IF(OR(T217="",N(Z217)=0),"",IF($B217="Short",-1,1)*(T217-H217)*G217/Z217)</f>
        <v/>
      </c>
      <c r="AG217" s="21" t="str">
        <f aca="false">IF(U217&lt;&gt;"Open","",Y217*MAX(0,IF($B217="Short",-1,1)*(H217-IF(K217="",I217,K217))))</f>
        <v/>
      </c>
      <c r="AH217" s="26" t="str">
        <f aca="false">IF(U217&lt;&gt;"Closed","",DATE(YEAR(P217),MONTH(P217),1))</f>
        <v/>
      </c>
      <c r="AI217" s="19" t="str">
        <f aca="false">IF(U217&lt;&gt;"Closed","",COUNTIFS($U$7:$U$506,"Closed",$P$7:$P$506,"&lt;"&amp;P217)+COUNTIFS($U$7:U217,"Closed",$P$7:P217,P217))</f>
        <v/>
      </c>
    </row>
    <row r="218" customFormat="false" ht="15" hidden="false" customHeight="false" outlineLevel="0" collapsed="false">
      <c r="A218" s="13"/>
      <c r="B218" s="14"/>
      <c r="C218" s="14"/>
      <c r="D218" s="14"/>
      <c r="E218" s="15"/>
      <c r="F218" s="15"/>
      <c r="G218" s="16"/>
      <c r="H218" s="17"/>
      <c r="I218" s="17"/>
      <c r="J218" s="17"/>
      <c r="K218" s="17"/>
      <c r="L218" s="16"/>
      <c r="M218" s="17"/>
      <c r="N218" s="16"/>
      <c r="O218" s="17"/>
      <c r="P218" s="15"/>
      <c r="Q218" s="17"/>
      <c r="R218" s="17"/>
      <c r="S218" s="17"/>
      <c r="T218" s="17"/>
      <c r="U218" s="18" t="str">
        <f aca="false">IF(A218="","",IF(N(G218)-N(L218)-N(N218)&lt;0,"Check shares",IF(AND(P218&lt;&gt;"",Q218&lt;&gt;""),"Closed","Open")))</f>
        <v/>
      </c>
      <c r="V218" s="19" t="str">
        <f aca="false">IF(OR(F218="",P218=""),"",NETWORKDAYS(F218,P218,Lists!$F$5:$F$40)-1)</f>
        <v/>
      </c>
      <c r="W218" s="18" t="str">
        <f aca="false">IF(V218="","",IF(V218=0,"Same day","Overnight"))</f>
        <v/>
      </c>
      <c r="X218" s="18" t="str">
        <f aca="false">IF(OR(E218="",F218=""),"",IF(AND(E218&gt;=F218,OR(P218="",E218&lt;=P218)),"Yes","No"))</f>
        <v/>
      </c>
      <c r="Y218" s="20" t="str">
        <f aca="false">IF(A218="","",N(G218)-N(L218)-N(N218))</f>
        <v/>
      </c>
      <c r="Z218" s="21" t="str">
        <f aca="false">IF(OR(G218="",H218="",I218=""),"",ABS(H218-I218)*G218)</f>
        <v/>
      </c>
      <c r="AA218" s="22" t="str">
        <f aca="false">IF(OR(J218="",N(Z218)=0),"",ABS(J218-H218)/ABS(H218-I218))</f>
        <v/>
      </c>
      <c r="AB218" s="23" t="str">
        <f aca="false">IF(U218&lt;&gt;"Closed","",(N(L218)*N(M218)+N(N218)*N(O218)+Y218*Q218)/G218)</f>
        <v/>
      </c>
      <c r="AC218" s="24" t="str">
        <f aca="false">IF(U218&lt;&gt;"Closed","",IF($B218="Short",-1,1)*((N(M218)-H218)*N(L218)+(N(O218)-H218)*N(N218)+(Q218-H218)*Y218)-N(R218))</f>
        <v/>
      </c>
      <c r="AD218" s="25" t="str">
        <f aca="false">IF(OR(AC218="",N(Z218)=0),"",AC218/Z218)</f>
        <v/>
      </c>
      <c r="AE218" s="25" t="str">
        <f aca="false">IF(OR(S218="",N(Z218)=0),"",IF($B218="Short",-1,1)*(S218-H218)*G218/Z218)</f>
        <v/>
      </c>
      <c r="AF218" s="25" t="str">
        <f aca="false">IF(OR(T218="",N(Z218)=0),"",IF($B218="Short",-1,1)*(T218-H218)*G218/Z218)</f>
        <v/>
      </c>
      <c r="AG218" s="21" t="str">
        <f aca="false">IF(U218&lt;&gt;"Open","",Y218*MAX(0,IF($B218="Short",-1,1)*(H218-IF(K218="",I218,K218))))</f>
        <v/>
      </c>
      <c r="AH218" s="26" t="str">
        <f aca="false">IF(U218&lt;&gt;"Closed","",DATE(YEAR(P218),MONTH(P218),1))</f>
        <v/>
      </c>
      <c r="AI218" s="19" t="str">
        <f aca="false">IF(U218&lt;&gt;"Closed","",COUNTIFS($U$7:$U$506,"Closed",$P$7:$P$506,"&lt;"&amp;P218)+COUNTIFS($U$7:U218,"Closed",$P$7:P218,P218))</f>
        <v/>
      </c>
    </row>
    <row r="219" customFormat="false" ht="15" hidden="false" customHeight="false" outlineLevel="0" collapsed="false">
      <c r="A219" s="13"/>
      <c r="B219" s="14"/>
      <c r="C219" s="14"/>
      <c r="D219" s="14"/>
      <c r="E219" s="15"/>
      <c r="F219" s="15"/>
      <c r="G219" s="16"/>
      <c r="H219" s="17"/>
      <c r="I219" s="17"/>
      <c r="J219" s="17"/>
      <c r="K219" s="17"/>
      <c r="L219" s="16"/>
      <c r="M219" s="17"/>
      <c r="N219" s="16"/>
      <c r="O219" s="17"/>
      <c r="P219" s="15"/>
      <c r="Q219" s="17"/>
      <c r="R219" s="17"/>
      <c r="S219" s="17"/>
      <c r="T219" s="17"/>
      <c r="U219" s="18" t="str">
        <f aca="false">IF(A219="","",IF(N(G219)-N(L219)-N(N219)&lt;0,"Check shares",IF(AND(P219&lt;&gt;"",Q219&lt;&gt;""),"Closed","Open")))</f>
        <v/>
      </c>
      <c r="V219" s="19" t="str">
        <f aca="false">IF(OR(F219="",P219=""),"",NETWORKDAYS(F219,P219,Lists!$F$5:$F$40)-1)</f>
        <v/>
      </c>
      <c r="W219" s="18" t="str">
        <f aca="false">IF(V219="","",IF(V219=0,"Same day","Overnight"))</f>
        <v/>
      </c>
      <c r="X219" s="18" t="str">
        <f aca="false">IF(OR(E219="",F219=""),"",IF(AND(E219&gt;=F219,OR(P219="",E219&lt;=P219)),"Yes","No"))</f>
        <v/>
      </c>
      <c r="Y219" s="20" t="str">
        <f aca="false">IF(A219="","",N(G219)-N(L219)-N(N219))</f>
        <v/>
      </c>
      <c r="Z219" s="21" t="str">
        <f aca="false">IF(OR(G219="",H219="",I219=""),"",ABS(H219-I219)*G219)</f>
        <v/>
      </c>
      <c r="AA219" s="22" t="str">
        <f aca="false">IF(OR(J219="",N(Z219)=0),"",ABS(J219-H219)/ABS(H219-I219))</f>
        <v/>
      </c>
      <c r="AB219" s="23" t="str">
        <f aca="false">IF(U219&lt;&gt;"Closed","",(N(L219)*N(M219)+N(N219)*N(O219)+Y219*Q219)/G219)</f>
        <v/>
      </c>
      <c r="AC219" s="24" t="str">
        <f aca="false">IF(U219&lt;&gt;"Closed","",IF($B219="Short",-1,1)*((N(M219)-H219)*N(L219)+(N(O219)-H219)*N(N219)+(Q219-H219)*Y219)-N(R219))</f>
        <v/>
      </c>
      <c r="AD219" s="25" t="str">
        <f aca="false">IF(OR(AC219="",N(Z219)=0),"",AC219/Z219)</f>
        <v/>
      </c>
      <c r="AE219" s="25" t="str">
        <f aca="false">IF(OR(S219="",N(Z219)=0),"",IF($B219="Short",-1,1)*(S219-H219)*G219/Z219)</f>
        <v/>
      </c>
      <c r="AF219" s="25" t="str">
        <f aca="false">IF(OR(T219="",N(Z219)=0),"",IF($B219="Short",-1,1)*(T219-H219)*G219/Z219)</f>
        <v/>
      </c>
      <c r="AG219" s="21" t="str">
        <f aca="false">IF(U219&lt;&gt;"Open","",Y219*MAX(0,IF($B219="Short",-1,1)*(H219-IF(K219="",I219,K219))))</f>
        <v/>
      </c>
      <c r="AH219" s="26" t="str">
        <f aca="false">IF(U219&lt;&gt;"Closed","",DATE(YEAR(P219),MONTH(P219),1))</f>
        <v/>
      </c>
      <c r="AI219" s="19" t="str">
        <f aca="false">IF(U219&lt;&gt;"Closed","",COUNTIFS($U$7:$U$506,"Closed",$P$7:$P$506,"&lt;"&amp;P219)+COUNTIFS($U$7:U219,"Closed",$P$7:P219,P219))</f>
        <v/>
      </c>
    </row>
    <row r="220" customFormat="false" ht="15" hidden="false" customHeight="false" outlineLevel="0" collapsed="false">
      <c r="A220" s="13"/>
      <c r="B220" s="14"/>
      <c r="C220" s="14"/>
      <c r="D220" s="14"/>
      <c r="E220" s="15"/>
      <c r="F220" s="15"/>
      <c r="G220" s="16"/>
      <c r="H220" s="17"/>
      <c r="I220" s="17"/>
      <c r="J220" s="17"/>
      <c r="K220" s="17"/>
      <c r="L220" s="16"/>
      <c r="M220" s="17"/>
      <c r="N220" s="16"/>
      <c r="O220" s="17"/>
      <c r="P220" s="15"/>
      <c r="Q220" s="17"/>
      <c r="R220" s="17"/>
      <c r="S220" s="17"/>
      <c r="T220" s="17"/>
      <c r="U220" s="18" t="str">
        <f aca="false">IF(A220="","",IF(N(G220)-N(L220)-N(N220)&lt;0,"Check shares",IF(AND(P220&lt;&gt;"",Q220&lt;&gt;""),"Closed","Open")))</f>
        <v/>
      </c>
      <c r="V220" s="19" t="str">
        <f aca="false">IF(OR(F220="",P220=""),"",NETWORKDAYS(F220,P220,Lists!$F$5:$F$40)-1)</f>
        <v/>
      </c>
      <c r="W220" s="18" t="str">
        <f aca="false">IF(V220="","",IF(V220=0,"Same day","Overnight"))</f>
        <v/>
      </c>
      <c r="X220" s="18" t="str">
        <f aca="false">IF(OR(E220="",F220=""),"",IF(AND(E220&gt;=F220,OR(P220="",E220&lt;=P220)),"Yes","No"))</f>
        <v/>
      </c>
      <c r="Y220" s="20" t="str">
        <f aca="false">IF(A220="","",N(G220)-N(L220)-N(N220))</f>
        <v/>
      </c>
      <c r="Z220" s="21" t="str">
        <f aca="false">IF(OR(G220="",H220="",I220=""),"",ABS(H220-I220)*G220)</f>
        <v/>
      </c>
      <c r="AA220" s="22" t="str">
        <f aca="false">IF(OR(J220="",N(Z220)=0),"",ABS(J220-H220)/ABS(H220-I220))</f>
        <v/>
      </c>
      <c r="AB220" s="23" t="str">
        <f aca="false">IF(U220&lt;&gt;"Closed","",(N(L220)*N(M220)+N(N220)*N(O220)+Y220*Q220)/G220)</f>
        <v/>
      </c>
      <c r="AC220" s="24" t="str">
        <f aca="false">IF(U220&lt;&gt;"Closed","",IF($B220="Short",-1,1)*((N(M220)-H220)*N(L220)+(N(O220)-H220)*N(N220)+(Q220-H220)*Y220)-N(R220))</f>
        <v/>
      </c>
      <c r="AD220" s="25" t="str">
        <f aca="false">IF(OR(AC220="",N(Z220)=0),"",AC220/Z220)</f>
        <v/>
      </c>
      <c r="AE220" s="25" t="str">
        <f aca="false">IF(OR(S220="",N(Z220)=0),"",IF($B220="Short",-1,1)*(S220-H220)*G220/Z220)</f>
        <v/>
      </c>
      <c r="AF220" s="25" t="str">
        <f aca="false">IF(OR(T220="",N(Z220)=0),"",IF($B220="Short",-1,1)*(T220-H220)*G220/Z220)</f>
        <v/>
      </c>
      <c r="AG220" s="21" t="str">
        <f aca="false">IF(U220&lt;&gt;"Open","",Y220*MAX(0,IF($B220="Short",-1,1)*(H220-IF(K220="",I220,K220))))</f>
        <v/>
      </c>
      <c r="AH220" s="26" t="str">
        <f aca="false">IF(U220&lt;&gt;"Closed","",DATE(YEAR(P220),MONTH(P220),1))</f>
        <v/>
      </c>
      <c r="AI220" s="19" t="str">
        <f aca="false">IF(U220&lt;&gt;"Closed","",COUNTIFS($U$7:$U$506,"Closed",$P$7:$P$506,"&lt;"&amp;P220)+COUNTIFS($U$7:U220,"Closed",$P$7:P220,P220))</f>
        <v/>
      </c>
    </row>
    <row r="221" customFormat="false" ht="15" hidden="false" customHeight="false" outlineLevel="0" collapsed="false">
      <c r="A221" s="13"/>
      <c r="B221" s="14"/>
      <c r="C221" s="14"/>
      <c r="D221" s="14"/>
      <c r="E221" s="15"/>
      <c r="F221" s="15"/>
      <c r="G221" s="16"/>
      <c r="H221" s="17"/>
      <c r="I221" s="17"/>
      <c r="J221" s="17"/>
      <c r="K221" s="17"/>
      <c r="L221" s="16"/>
      <c r="M221" s="17"/>
      <c r="N221" s="16"/>
      <c r="O221" s="17"/>
      <c r="P221" s="15"/>
      <c r="Q221" s="17"/>
      <c r="R221" s="17"/>
      <c r="S221" s="17"/>
      <c r="T221" s="17"/>
      <c r="U221" s="18" t="str">
        <f aca="false">IF(A221="","",IF(N(G221)-N(L221)-N(N221)&lt;0,"Check shares",IF(AND(P221&lt;&gt;"",Q221&lt;&gt;""),"Closed","Open")))</f>
        <v/>
      </c>
      <c r="V221" s="19" t="str">
        <f aca="false">IF(OR(F221="",P221=""),"",NETWORKDAYS(F221,P221,Lists!$F$5:$F$40)-1)</f>
        <v/>
      </c>
      <c r="W221" s="18" t="str">
        <f aca="false">IF(V221="","",IF(V221=0,"Same day","Overnight"))</f>
        <v/>
      </c>
      <c r="X221" s="18" t="str">
        <f aca="false">IF(OR(E221="",F221=""),"",IF(AND(E221&gt;=F221,OR(P221="",E221&lt;=P221)),"Yes","No"))</f>
        <v/>
      </c>
      <c r="Y221" s="20" t="str">
        <f aca="false">IF(A221="","",N(G221)-N(L221)-N(N221))</f>
        <v/>
      </c>
      <c r="Z221" s="21" t="str">
        <f aca="false">IF(OR(G221="",H221="",I221=""),"",ABS(H221-I221)*G221)</f>
        <v/>
      </c>
      <c r="AA221" s="22" t="str">
        <f aca="false">IF(OR(J221="",N(Z221)=0),"",ABS(J221-H221)/ABS(H221-I221))</f>
        <v/>
      </c>
      <c r="AB221" s="23" t="str">
        <f aca="false">IF(U221&lt;&gt;"Closed","",(N(L221)*N(M221)+N(N221)*N(O221)+Y221*Q221)/G221)</f>
        <v/>
      </c>
      <c r="AC221" s="24" t="str">
        <f aca="false">IF(U221&lt;&gt;"Closed","",IF($B221="Short",-1,1)*((N(M221)-H221)*N(L221)+(N(O221)-H221)*N(N221)+(Q221-H221)*Y221)-N(R221))</f>
        <v/>
      </c>
      <c r="AD221" s="25" t="str">
        <f aca="false">IF(OR(AC221="",N(Z221)=0),"",AC221/Z221)</f>
        <v/>
      </c>
      <c r="AE221" s="25" t="str">
        <f aca="false">IF(OR(S221="",N(Z221)=0),"",IF($B221="Short",-1,1)*(S221-H221)*G221/Z221)</f>
        <v/>
      </c>
      <c r="AF221" s="25" t="str">
        <f aca="false">IF(OR(T221="",N(Z221)=0),"",IF($B221="Short",-1,1)*(T221-H221)*G221/Z221)</f>
        <v/>
      </c>
      <c r="AG221" s="21" t="str">
        <f aca="false">IF(U221&lt;&gt;"Open","",Y221*MAX(0,IF($B221="Short",-1,1)*(H221-IF(K221="",I221,K221))))</f>
        <v/>
      </c>
      <c r="AH221" s="26" t="str">
        <f aca="false">IF(U221&lt;&gt;"Closed","",DATE(YEAR(P221),MONTH(P221),1))</f>
        <v/>
      </c>
      <c r="AI221" s="19" t="str">
        <f aca="false">IF(U221&lt;&gt;"Closed","",COUNTIFS($U$7:$U$506,"Closed",$P$7:$P$506,"&lt;"&amp;P221)+COUNTIFS($U$7:U221,"Closed",$P$7:P221,P221))</f>
        <v/>
      </c>
    </row>
    <row r="222" customFormat="false" ht="15" hidden="false" customHeight="false" outlineLevel="0" collapsed="false">
      <c r="A222" s="13"/>
      <c r="B222" s="14"/>
      <c r="C222" s="14"/>
      <c r="D222" s="14"/>
      <c r="E222" s="15"/>
      <c r="F222" s="15"/>
      <c r="G222" s="16"/>
      <c r="H222" s="17"/>
      <c r="I222" s="17"/>
      <c r="J222" s="17"/>
      <c r="K222" s="17"/>
      <c r="L222" s="16"/>
      <c r="M222" s="17"/>
      <c r="N222" s="16"/>
      <c r="O222" s="17"/>
      <c r="P222" s="15"/>
      <c r="Q222" s="17"/>
      <c r="R222" s="17"/>
      <c r="S222" s="17"/>
      <c r="T222" s="17"/>
      <c r="U222" s="18" t="str">
        <f aca="false">IF(A222="","",IF(N(G222)-N(L222)-N(N222)&lt;0,"Check shares",IF(AND(P222&lt;&gt;"",Q222&lt;&gt;""),"Closed","Open")))</f>
        <v/>
      </c>
      <c r="V222" s="19" t="str">
        <f aca="false">IF(OR(F222="",P222=""),"",NETWORKDAYS(F222,P222,Lists!$F$5:$F$40)-1)</f>
        <v/>
      </c>
      <c r="W222" s="18" t="str">
        <f aca="false">IF(V222="","",IF(V222=0,"Same day","Overnight"))</f>
        <v/>
      </c>
      <c r="X222" s="18" t="str">
        <f aca="false">IF(OR(E222="",F222=""),"",IF(AND(E222&gt;=F222,OR(P222="",E222&lt;=P222)),"Yes","No"))</f>
        <v/>
      </c>
      <c r="Y222" s="20" t="str">
        <f aca="false">IF(A222="","",N(G222)-N(L222)-N(N222))</f>
        <v/>
      </c>
      <c r="Z222" s="21" t="str">
        <f aca="false">IF(OR(G222="",H222="",I222=""),"",ABS(H222-I222)*G222)</f>
        <v/>
      </c>
      <c r="AA222" s="22" t="str">
        <f aca="false">IF(OR(J222="",N(Z222)=0),"",ABS(J222-H222)/ABS(H222-I222))</f>
        <v/>
      </c>
      <c r="AB222" s="23" t="str">
        <f aca="false">IF(U222&lt;&gt;"Closed","",(N(L222)*N(M222)+N(N222)*N(O222)+Y222*Q222)/G222)</f>
        <v/>
      </c>
      <c r="AC222" s="24" t="str">
        <f aca="false">IF(U222&lt;&gt;"Closed","",IF($B222="Short",-1,1)*((N(M222)-H222)*N(L222)+(N(O222)-H222)*N(N222)+(Q222-H222)*Y222)-N(R222))</f>
        <v/>
      </c>
      <c r="AD222" s="25" t="str">
        <f aca="false">IF(OR(AC222="",N(Z222)=0),"",AC222/Z222)</f>
        <v/>
      </c>
      <c r="AE222" s="25" t="str">
        <f aca="false">IF(OR(S222="",N(Z222)=0),"",IF($B222="Short",-1,1)*(S222-H222)*G222/Z222)</f>
        <v/>
      </c>
      <c r="AF222" s="25" t="str">
        <f aca="false">IF(OR(T222="",N(Z222)=0),"",IF($B222="Short",-1,1)*(T222-H222)*G222/Z222)</f>
        <v/>
      </c>
      <c r="AG222" s="21" t="str">
        <f aca="false">IF(U222&lt;&gt;"Open","",Y222*MAX(0,IF($B222="Short",-1,1)*(H222-IF(K222="",I222,K222))))</f>
        <v/>
      </c>
      <c r="AH222" s="26" t="str">
        <f aca="false">IF(U222&lt;&gt;"Closed","",DATE(YEAR(P222),MONTH(P222),1))</f>
        <v/>
      </c>
      <c r="AI222" s="19" t="str">
        <f aca="false">IF(U222&lt;&gt;"Closed","",COUNTIFS($U$7:$U$506,"Closed",$P$7:$P$506,"&lt;"&amp;P222)+COUNTIFS($U$7:U222,"Closed",$P$7:P222,P222))</f>
        <v/>
      </c>
    </row>
    <row r="223" customFormat="false" ht="15" hidden="false" customHeight="false" outlineLevel="0" collapsed="false">
      <c r="A223" s="13"/>
      <c r="B223" s="14"/>
      <c r="C223" s="14"/>
      <c r="D223" s="14"/>
      <c r="E223" s="15"/>
      <c r="F223" s="15"/>
      <c r="G223" s="16"/>
      <c r="H223" s="17"/>
      <c r="I223" s="17"/>
      <c r="J223" s="17"/>
      <c r="K223" s="17"/>
      <c r="L223" s="16"/>
      <c r="M223" s="17"/>
      <c r="N223" s="16"/>
      <c r="O223" s="17"/>
      <c r="P223" s="15"/>
      <c r="Q223" s="17"/>
      <c r="R223" s="17"/>
      <c r="S223" s="17"/>
      <c r="T223" s="17"/>
      <c r="U223" s="18" t="str">
        <f aca="false">IF(A223="","",IF(N(G223)-N(L223)-N(N223)&lt;0,"Check shares",IF(AND(P223&lt;&gt;"",Q223&lt;&gt;""),"Closed","Open")))</f>
        <v/>
      </c>
      <c r="V223" s="19" t="str">
        <f aca="false">IF(OR(F223="",P223=""),"",NETWORKDAYS(F223,P223,Lists!$F$5:$F$40)-1)</f>
        <v/>
      </c>
      <c r="W223" s="18" t="str">
        <f aca="false">IF(V223="","",IF(V223=0,"Same day","Overnight"))</f>
        <v/>
      </c>
      <c r="X223" s="18" t="str">
        <f aca="false">IF(OR(E223="",F223=""),"",IF(AND(E223&gt;=F223,OR(P223="",E223&lt;=P223)),"Yes","No"))</f>
        <v/>
      </c>
      <c r="Y223" s="20" t="str">
        <f aca="false">IF(A223="","",N(G223)-N(L223)-N(N223))</f>
        <v/>
      </c>
      <c r="Z223" s="21" t="str">
        <f aca="false">IF(OR(G223="",H223="",I223=""),"",ABS(H223-I223)*G223)</f>
        <v/>
      </c>
      <c r="AA223" s="22" t="str">
        <f aca="false">IF(OR(J223="",N(Z223)=0),"",ABS(J223-H223)/ABS(H223-I223))</f>
        <v/>
      </c>
      <c r="AB223" s="23" t="str">
        <f aca="false">IF(U223&lt;&gt;"Closed","",(N(L223)*N(M223)+N(N223)*N(O223)+Y223*Q223)/G223)</f>
        <v/>
      </c>
      <c r="AC223" s="24" t="str">
        <f aca="false">IF(U223&lt;&gt;"Closed","",IF($B223="Short",-1,1)*((N(M223)-H223)*N(L223)+(N(O223)-H223)*N(N223)+(Q223-H223)*Y223)-N(R223))</f>
        <v/>
      </c>
      <c r="AD223" s="25" t="str">
        <f aca="false">IF(OR(AC223="",N(Z223)=0),"",AC223/Z223)</f>
        <v/>
      </c>
      <c r="AE223" s="25" t="str">
        <f aca="false">IF(OR(S223="",N(Z223)=0),"",IF($B223="Short",-1,1)*(S223-H223)*G223/Z223)</f>
        <v/>
      </c>
      <c r="AF223" s="25" t="str">
        <f aca="false">IF(OR(T223="",N(Z223)=0),"",IF($B223="Short",-1,1)*(T223-H223)*G223/Z223)</f>
        <v/>
      </c>
      <c r="AG223" s="21" t="str">
        <f aca="false">IF(U223&lt;&gt;"Open","",Y223*MAX(0,IF($B223="Short",-1,1)*(H223-IF(K223="",I223,K223))))</f>
        <v/>
      </c>
      <c r="AH223" s="26" t="str">
        <f aca="false">IF(U223&lt;&gt;"Closed","",DATE(YEAR(P223),MONTH(P223),1))</f>
        <v/>
      </c>
      <c r="AI223" s="19" t="str">
        <f aca="false">IF(U223&lt;&gt;"Closed","",COUNTIFS($U$7:$U$506,"Closed",$P$7:$P$506,"&lt;"&amp;P223)+COUNTIFS($U$7:U223,"Closed",$P$7:P223,P223))</f>
        <v/>
      </c>
    </row>
    <row r="224" customFormat="false" ht="15" hidden="false" customHeight="false" outlineLevel="0" collapsed="false">
      <c r="A224" s="13"/>
      <c r="B224" s="14"/>
      <c r="C224" s="14"/>
      <c r="D224" s="14"/>
      <c r="E224" s="15"/>
      <c r="F224" s="15"/>
      <c r="G224" s="16"/>
      <c r="H224" s="17"/>
      <c r="I224" s="17"/>
      <c r="J224" s="17"/>
      <c r="K224" s="17"/>
      <c r="L224" s="16"/>
      <c r="M224" s="17"/>
      <c r="N224" s="16"/>
      <c r="O224" s="17"/>
      <c r="P224" s="15"/>
      <c r="Q224" s="17"/>
      <c r="R224" s="17"/>
      <c r="S224" s="17"/>
      <c r="T224" s="17"/>
      <c r="U224" s="18" t="str">
        <f aca="false">IF(A224="","",IF(N(G224)-N(L224)-N(N224)&lt;0,"Check shares",IF(AND(P224&lt;&gt;"",Q224&lt;&gt;""),"Closed","Open")))</f>
        <v/>
      </c>
      <c r="V224" s="19" t="str">
        <f aca="false">IF(OR(F224="",P224=""),"",NETWORKDAYS(F224,P224,Lists!$F$5:$F$40)-1)</f>
        <v/>
      </c>
      <c r="W224" s="18" t="str">
        <f aca="false">IF(V224="","",IF(V224=0,"Same day","Overnight"))</f>
        <v/>
      </c>
      <c r="X224" s="18" t="str">
        <f aca="false">IF(OR(E224="",F224=""),"",IF(AND(E224&gt;=F224,OR(P224="",E224&lt;=P224)),"Yes","No"))</f>
        <v/>
      </c>
      <c r="Y224" s="20" t="str">
        <f aca="false">IF(A224="","",N(G224)-N(L224)-N(N224))</f>
        <v/>
      </c>
      <c r="Z224" s="21" t="str">
        <f aca="false">IF(OR(G224="",H224="",I224=""),"",ABS(H224-I224)*G224)</f>
        <v/>
      </c>
      <c r="AA224" s="22" t="str">
        <f aca="false">IF(OR(J224="",N(Z224)=0),"",ABS(J224-H224)/ABS(H224-I224))</f>
        <v/>
      </c>
      <c r="AB224" s="23" t="str">
        <f aca="false">IF(U224&lt;&gt;"Closed","",(N(L224)*N(M224)+N(N224)*N(O224)+Y224*Q224)/G224)</f>
        <v/>
      </c>
      <c r="AC224" s="24" t="str">
        <f aca="false">IF(U224&lt;&gt;"Closed","",IF($B224="Short",-1,1)*((N(M224)-H224)*N(L224)+(N(O224)-H224)*N(N224)+(Q224-H224)*Y224)-N(R224))</f>
        <v/>
      </c>
      <c r="AD224" s="25" t="str">
        <f aca="false">IF(OR(AC224="",N(Z224)=0),"",AC224/Z224)</f>
        <v/>
      </c>
      <c r="AE224" s="25" t="str">
        <f aca="false">IF(OR(S224="",N(Z224)=0),"",IF($B224="Short",-1,1)*(S224-H224)*G224/Z224)</f>
        <v/>
      </c>
      <c r="AF224" s="25" t="str">
        <f aca="false">IF(OR(T224="",N(Z224)=0),"",IF($B224="Short",-1,1)*(T224-H224)*G224/Z224)</f>
        <v/>
      </c>
      <c r="AG224" s="21" t="str">
        <f aca="false">IF(U224&lt;&gt;"Open","",Y224*MAX(0,IF($B224="Short",-1,1)*(H224-IF(K224="",I224,K224))))</f>
        <v/>
      </c>
      <c r="AH224" s="26" t="str">
        <f aca="false">IF(U224&lt;&gt;"Closed","",DATE(YEAR(P224),MONTH(P224),1))</f>
        <v/>
      </c>
      <c r="AI224" s="19" t="str">
        <f aca="false">IF(U224&lt;&gt;"Closed","",COUNTIFS($U$7:$U$506,"Closed",$P$7:$P$506,"&lt;"&amp;P224)+COUNTIFS($U$7:U224,"Closed",$P$7:P224,P224))</f>
        <v/>
      </c>
    </row>
    <row r="225" customFormat="false" ht="15" hidden="false" customHeight="false" outlineLevel="0" collapsed="false">
      <c r="A225" s="13"/>
      <c r="B225" s="14"/>
      <c r="C225" s="14"/>
      <c r="D225" s="14"/>
      <c r="E225" s="15"/>
      <c r="F225" s="15"/>
      <c r="G225" s="16"/>
      <c r="H225" s="17"/>
      <c r="I225" s="17"/>
      <c r="J225" s="17"/>
      <c r="K225" s="17"/>
      <c r="L225" s="16"/>
      <c r="M225" s="17"/>
      <c r="N225" s="16"/>
      <c r="O225" s="17"/>
      <c r="P225" s="15"/>
      <c r="Q225" s="17"/>
      <c r="R225" s="17"/>
      <c r="S225" s="17"/>
      <c r="T225" s="17"/>
      <c r="U225" s="18" t="str">
        <f aca="false">IF(A225="","",IF(N(G225)-N(L225)-N(N225)&lt;0,"Check shares",IF(AND(P225&lt;&gt;"",Q225&lt;&gt;""),"Closed","Open")))</f>
        <v/>
      </c>
      <c r="V225" s="19" t="str">
        <f aca="false">IF(OR(F225="",P225=""),"",NETWORKDAYS(F225,P225,Lists!$F$5:$F$40)-1)</f>
        <v/>
      </c>
      <c r="W225" s="18" t="str">
        <f aca="false">IF(V225="","",IF(V225=0,"Same day","Overnight"))</f>
        <v/>
      </c>
      <c r="X225" s="18" t="str">
        <f aca="false">IF(OR(E225="",F225=""),"",IF(AND(E225&gt;=F225,OR(P225="",E225&lt;=P225)),"Yes","No"))</f>
        <v/>
      </c>
      <c r="Y225" s="20" t="str">
        <f aca="false">IF(A225="","",N(G225)-N(L225)-N(N225))</f>
        <v/>
      </c>
      <c r="Z225" s="21" t="str">
        <f aca="false">IF(OR(G225="",H225="",I225=""),"",ABS(H225-I225)*G225)</f>
        <v/>
      </c>
      <c r="AA225" s="22" t="str">
        <f aca="false">IF(OR(J225="",N(Z225)=0),"",ABS(J225-H225)/ABS(H225-I225))</f>
        <v/>
      </c>
      <c r="AB225" s="23" t="str">
        <f aca="false">IF(U225&lt;&gt;"Closed","",(N(L225)*N(M225)+N(N225)*N(O225)+Y225*Q225)/G225)</f>
        <v/>
      </c>
      <c r="AC225" s="24" t="str">
        <f aca="false">IF(U225&lt;&gt;"Closed","",IF($B225="Short",-1,1)*((N(M225)-H225)*N(L225)+(N(O225)-H225)*N(N225)+(Q225-H225)*Y225)-N(R225))</f>
        <v/>
      </c>
      <c r="AD225" s="25" t="str">
        <f aca="false">IF(OR(AC225="",N(Z225)=0),"",AC225/Z225)</f>
        <v/>
      </c>
      <c r="AE225" s="25" t="str">
        <f aca="false">IF(OR(S225="",N(Z225)=0),"",IF($B225="Short",-1,1)*(S225-H225)*G225/Z225)</f>
        <v/>
      </c>
      <c r="AF225" s="25" t="str">
        <f aca="false">IF(OR(T225="",N(Z225)=0),"",IF($B225="Short",-1,1)*(T225-H225)*G225/Z225)</f>
        <v/>
      </c>
      <c r="AG225" s="21" t="str">
        <f aca="false">IF(U225&lt;&gt;"Open","",Y225*MAX(0,IF($B225="Short",-1,1)*(H225-IF(K225="",I225,K225))))</f>
        <v/>
      </c>
      <c r="AH225" s="26" t="str">
        <f aca="false">IF(U225&lt;&gt;"Closed","",DATE(YEAR(P225),MONTH(P225),1))</f>
        <v/>
      </c>
      <c r="AI225" s="19" t="str">
        <f aca="false">IF(U225&lt;&gt;"Closed","",COUNTIFS($U$7:$U$506,"Closed",$P$7:$P$506,"&lt;"&amp;P225)+COUNTIFS($U$7:U225,"Closed",$P$7:P225,P225))</f>
        <v/>
      </c>
    </row>
    <row r="226" customFormat="false" ht="15" hidden="false" customHeight="false" outlineLevel="0" collapsed="false">
      <c r="A226" s="13"/>
      <c r="B226" s="14"/>
      <c r="C226" s="14"/>
      <c r="D226" s="14"/>
      <c r="E226" s="15"/>
      <c r="F226" s="15"/>
      <c r="G226" s="16"/>
      <c r="H226" s="17"/>
      <c r="I226" s="17"/>
      <c r="J226" s="17"/>
      <c r="K226" s="17"/>
      <c r="L226" s="16"/>
      <c r="M226" s="17"/>
      <c r="N226" s="16"/>
      <c r="O226" s="17"/>
      <c r="P226" s="15"/>
      <c r="Q226" s="17"/>
      <c r="R226" s="17"/>
      <c r="S226" s="17"/>
      <c r="T226" s="17"/>
      <c r="U226" s="18" t="str">
        <f aca="false">IF(A226="","",IF(N(G226)-N(L226)-N(N226)&lt;0,"Check shares",IF(AND(P226&lt;&gt;"",Q226&lt;&gt;""),"Closed","Open")))</f>
        <v/>
      </c>
      <c r="V226" s="19" t="str">
        <f aca="false">IF(OR(F226="",P226=""),"",NETWORKDAYS(F226,P226,Lists!$F$5:$F$40)-1)</f>
        <v/>
      </c>
      <c r="W226" s="18" t="str">
        <f aca="false">IF(V226="","",IF(V226=0,"Same day","Overnight"))</f>
        <v/>
      </c>
      <c r="X226" s="18" t="str">
        <f aca="false">IF(OR(E226="",F226=""),"",IF(AND(E226&gt;=F226,OR(P226="",E226&lt;=P226)),"Yes","No"))</f>
        <v/>
      </c>
      <c r="Y226" s="20" t="str">
        <f aca="false">IF(A226="","",N(G226)-N(L226)-N(N226))</f>
        <v/>
      </c>
      <c r="Z226" s="21" t="str">
        <f aca="false">IF(OR(G226="",H226="",I226=""),"",ABS(H226-I226)*G226)</f>
        <v/>
      </c>
      <c r="AA226" s="22" t="str">
        <f aca="false">IF(OR(J226="",N(Z226)=0),"",ABS(J226-H226)/ABS(H226-I226))</f>
        <v/>
      </c>
      <c r="AB226" s="23" t="str">
        <f aca="false">IF(U226&lt;&gt;"Closed","",(N(L226)*N(M226)+N(N226)*N(O226)+Y226*Q226)/G226)</f>
        <v/>
      </c>
      <c r="AC226" s="24" t="str">
        <f aca="false">IF(U226&lt;&gt;"Closed","",IF($B226="Short",-1,1)*((N(M226)-H226)*N(L226)+(N(O226)-H226)*N(N226)+(Q226-H226)*Y226)-N(R226))</f>
        <v/>
      </c>
      <c r="AD226" s="25" t="str">
        <f aca="false">IF(OR(AC226="",N(Z226)=0),"",AC226/Z226)</f>
        <v/>
      </c>
      <c r="AE226" s="25" t="str">
        <f aca="false">IF(OR(S226="",N(Z226)=0),"",IF($B226="Short",-1,1)*(S226-H226)*G226/Z226)</f>
        <v/>
      </c>
      <c r="AF226" s="25" t="str">
        <f aca="false">IF(OR(T226="",N(Z226)=0),"",IF($B226="Short",-1,1)*(T226-H226)*G226/Z226)</f>
        <v/>
      </c>
      <c r="AG226" s="21" t="str">
        <f aca="false">IF(U226&lt;&gt;"Open","",Y226*MAX(0,IF($B226="Short",-1,1)*(H226-IF(K226="",I226,K226))))</f>
        <v/>
      </c>
      <c r="AH226" s="26" t="str">
        <f aca="false">IF(U226&lt;&gt;"Closed","",DATE(YEAR(P226),MONTH(P226),1))</f>
        <v/>
      </c>
      <c r="AI226" s="19" t="str">
        <f aca="false">IF(U226&lt;&gt;"Closed","",COUNTIFS($U$7:$U$506,"Closed",$P$7:$P$506,"&lt;"&amp;P226)+COUNTIFS($U$7:U226,"Closed",$P$7:P226,P226))</f>
        <v/>
      </c>
    </row>
    <row r="227" customFormat="false" ht="15" hidden="false" customHeight="false" outlineLevel="0" collapsed="false">
      <c r="A227" s="13"/>
      <c r="B227" s="14"/>
      <c r="C227" s="14"/>
      <c r="D227" s="14"/>
      <c r="E227" s="15"/>
      <c r="F227" s="15"/>
      <c r="G227" s="16"/>
      <c r="H227" s="17"/>
      <c r="I227" s="17"/>
      <c r="J227" s="17"/>
      <c r="K227" s="17"/>
      <c r="L227" s="16"/>
      <c r="M227" s="17"/>
      <c r="N227" s="16"/>
      <c r="O227" s="17"/>
      <c r="P227" s="15"/>
      <c r="Q227" s="17"/>
      <c r="R227" s="17"/>
      <c r="S227" s="17"/>
      <c r="T227" s="17"/>
      <c r="U227" s="18" t="str">
        <f aca="false">IF(A227="","",IF(N(G227)-N(L227)-N(N227)&lt;0,"Check shares",IF(AND(P227&lt;&gt;"",Q227&lt;&gt;""),"Closed","Open")))</f>
        <v/>
      </c>
      <c r="V227" s="19" t="str">
        <f aca="false">IF(OR(F227="",P227=""),"",NETWORKDAYS(F227,P227,Lists!$F$5:$F$40)-1)</f>
        <v/>
      </c>
      <c r="W227" s="18" t="str">
        <f aca="false">IF(V227="","",IF(V227=0,"Same day","Overnight"))</f>
        <v/>
      </c>
      <c r="X227" s="18" t="str">
        <f aca="false">IF(OR(E227="",F227=""),"",IF(AND(E227&gt;=F227,OR(P227="",E227&lt;=P227)),"Yes","No"))</f>
        <v/>
      </c>
      <c r="Y227" s="20" t="str">
        <f aca="false">IF(A227="","",N(G227)-N(L227)-N(N227))</f>
        <v/>
      </c>
      <c r="Z227" s="21" t="str">
        <f aca="false">IF(OR(G227="",H227="",I227=""),"",ABS(H227-I227)*G227)</f>
        <v/>
      </c>
      <c r="AA227" s="22" t="str">
        <f aca="false">IF(OR(J227="",N(Z227)=0),"",ABS(J227-H227)/ABS(H227-I227))</f>
        <v/>
      </c>
      <c r="AB227" s="23" t="str">
        <f aca="false">IF(U227&lt;&gt;"Closed","",(N(L227)*N(M227)+N(N227)*N(O227)+Y227*Q227)/G227)</f>
        <v/>
      </c>
      <c r="AC227" s="24" t="str">
        <f aca="false">IF(U227&lt;&gt;"Closed","",IF($B227="Short",-1,1)*((N(M227)-H227)*N(L227)+(N(O227)-H227)*N(N227)+(Q227-H227)*Y227)-N(R227))</f>
        <v/>
      </c>
      <c r="AD227" s="25" t="str">
        <f aca="false">IF(OR(AC227="",N(Z227)=0),"",AC227/Z227)</f>
        <v/>
      </c>
      <c r="AE227" s="25" t="str">
        <f aca="false">IF(OR(S227="",N(Z227)=0),"",IF($B227="Short",-1,1)*(S227-H227)*G227/Z227)</f>
        <v/>
      </c>
      <c r="AF227" s="25" t="str">
        <f aca="false">IF(OR(T227="",N(Z227)=0),"",IF($B227="Short",-1,1)*(T227-H227)*G227/Z227)</f>
        <v/>
      </c>
      <c r="AG227" s="21" t="str">
        <f aca="false">IF(U227&lt;&gt;"Open","",Y227*MAX(0,IF($B227="Short",-1,1)*(H227-IF(K227="",I227,K227))))</f>
        <v/>
      </c>
      <c r="AH227" s="26" t="str">
        <f aca="false">IF(U227&lt;&gt;"Closed","",DATE(YEAR(P227),MONTH(P227),1))</f>
        <v/>
      </c>
      <c r="AI227" s="19" t="str">
        <f aca="false">IF(U227&lt;&gt;"Closed","",COUNTIFS($U$7:$U$506,"Closed",$P$7:$P$506,"&lt;"&amp;P227)+COUNTIFS($U$7:U227,"Closed",$P$7:P227,P227))</f>
        <v/>
      </c>
    </row>
    <row r="228" customFormat="false" ht="15" hidden="false" customHeight="false" outlineLevel="0" collapsed="false">
      <c r="A228" s="13"/>
      <c r="B228" s="14"/>
      <c r="C228" s="14"/>
      <c r="D228" s="14"/>
      <c r="E228" s="15"/>
      <c r="F228" s="15"/>
      <c r="G228" s="16"/>
      <c r="H228" s="17"/>
      <c r="I228" s="17"/>
      <c r="J228" s="17"/>
      <c r="K228" s="17"/>
      <c r="L228" s="16"/>
      <c r="M228" s="17"/>
      <c r="N228" s="16"/>
      <c r="O228" s="17"/>
      <c r="P228" s="15"/>
      <c r="Q228" s="17"/>
      <c r="R228" s="17"/>
      <c r="S228" s="17"/>
      <c r="T228" s="17"/>
      <c r="U228" s="18" t="str">
        <f aca="false">IF(A228="","",IF(N(G228)-N(L228)-N(N228)&lt;0,"Check shares",IF(AND(P228&lt;&gt;"",Q228&lt;&gt;""),"Closed","Open")))</f>
        <v/>
      </c>
      <c r="V228" s="19" t="str">
        <f aca="false">IF(OR(F228="",P228=""),"",NETWORKDAYS(F228,P228,Lists!$F$5:$F$40)-1)</f>
        <v/>
      </c>
      <c r="W228" s="18" t="str">
        <f aca="false">IF(V228="","",IF(V228=0,"Same day","Overnight"))</f>
        <v/>
      </c>
      <c r="X228" s="18" t="str">
        <f aca="false">IF(OR(E228="",F228=""),"",IF(AND(E228&gt;=F228,OR(P228="",E228&lt;=P228)),"Yes","No"))</f>
        <v/>
      </c>
      <c r="Y228" s="20" t="str">
        <f aca="false">IF(A228="","",N(G228)-N(L228)-N(N228))</f>
        <v/>
      </c>
      <c r="Z228" s="21" t="str">
        <f aca="false">IF(OR(G228="",H228="",I228=""),"",ABS(H228-I228)*G228)</f>
        <v/>
      </c>
      <c r="AA228" s="22" t="str">
        <f aca="false">IF(OR(J228="",N(Z228)=0),"",ABS(J228-H228)/ABS(H228-I228))</f>
        <v/>
      </c>
      <c r="AB228" s="23" t="str">
        <f aca="false">IF(U228&lt;&gt;"Closed","",(N(L228)*N(M228)+N(N228)*N(O228)+Y228*Q228)/G228)</f>
        <v/>
      </c>
      <c r="AC228" s="24" t="str">
        <f aca="false">IF(U228&lt;&gt;"Closed","",IF($B228="Short",-1,1)*((N(M228)-H228)*N(L228)+(N(O228)-H228)*N(N228)+(Q228-H228)*Y228)-N(R228))</f>
        <v/>
      </c>
      <c r="AD228" s="25" t="str">
        <f aca="false">IF(OR(AC228="",N(Z228)=0),"",AC228/Z228)</f>
        <v/>
      </c>
      <c r="AE228" s="25" t="str">
        <f aca="false">IF(OR(S228="",N(Z228)=0),"",IF($B228="Short",-1,1)*(S228-H228)*G228/Z228)</f>
        <v/>
      </c>
      <c r="AF228" s="25" t="str">
        <f aca="false">IF(OR(T228="",N(Z228)=0),"",IF($B228="Short",-1,1)*(T228-H228)*G228/Z228)</f>
        <v/>
      </c>
      <c r="AG228" s="21" t="str">
        <f aca="false">IF(U228&lt;&gt;"Open","",Y228*MAX(0,IF($B228="Short",-1,1)*(H228-IF(K228="",I228,K228))))</f>
        <v/>
      </c>
      <c r="AH228" s="26" t="str">
        <f aca="false">IF(U228&lt;&gt;"Closed","",DATE(YEAR(P228),MONTH(P228),1))</f>
        <v/>
      </c>
      <c r="AI228" s="19" t="str">
        <f aca="false">IF(U228&lt;&gt;"Closed","",COUNTIFS($U$7:$U$506,"Closed",$P$7:$P$506,"&lt;"&amp;P228)+COUNTIFS($U$7:U228,"Closed",$P$7:P228,P228))</f>
        <v/>
      </c>
    </row>
    <row r="229" customFormat="false" ht="15" hidden="false" customHeight="false" outlineLevel="0" collapsed="false">
      <c r="A229" s="13"/>
      <c r="B229" s="14"/>
      <c r="C229" s="14"/>
      <c r="D229" s="14"/>
      <c r="E229" s="15"/>
      <c r="F229" s="15"/>
      <c r="G229" s="16"/>
      <c r="H229" s="17"/>
      <c r="I229" s="17"/>
      <c r="J229" s="17"/>
      <c r="K229" s="17"/>
      <c r="L229" s="16"/>
      <c r="M229" s="17"/>
      <c r="N229" s="16"/>
      <c r="O229" s="17"/>
      <c r="P229" s="15"/>
      <c r="Q229" s="17"/>
      <c r="R229" s="17"/>
      <c r="S229" s="17"/>
      <c r="T229" s="17"/>
      <c r="U229" s="18" t="str">
        <f aca="false">IF(A229="","",IF(N(G229)-N(L229)-N(N229)&lt;0,"Check shares",IF(AND(P229&lt;&gt;"",Q229&lt;&gt;""),"Closed","Open")))</f>
        <v/>
      </c>
      <c r="V229" s="19" t="str">
        <f aca="false">IF(OR(F229="",P229=""),"",NETWORKDAYS(F229,P229,Lists!$F$5:$F$40)-1)</f>
        <v/>
      </c>
      <c r="W229" s="18" t="str">
        <f aca="false">IF(V229="","",IF(V229=0,"Same day","Overnight"))</f>
        <v/>
      </c>
      <c r="X229" s="18" t="str">
        <f aca="false">IF(OR(E229="",F229=""),"",IF(AND(E229&gt;=F229,OR(P229="",E229&lt;=P229)),"Yes","No"))</f>
        <v/>
      </c>
      <c r="Y229" s="20" t="str">
        <f aca="false">IF(A229="","",N(G229)-N(L229)-N(N229))</f>
        <v/>
      </c>
      <c r="Z229" s="21" t="str">
        <f aca="false">IF(OR(G229="",H229="",I229=""),"",ABS(H229-I229)*G229)</f>
        <v/>
      </c>
      <c r="AA229" s="22" t="str">
        <f aca="false">IF(OR(J229="",N(Z229)=0),"",ABS(J229-H229)/ABS(H229-I229))</f>
        <v/>
      </c>
      <c r="AB229" s="23" t="str">
        <f aca="false">IF(U229&lt;&gt;"Closed","",(N(L229)*N(M229)+N(N229)*N(O229)+Y229*Q229)/G229)</f>
        <v/>
      </c>
      <c r="AC229" s="24" t="str">
        <f aca="false">IF(U229&lt;&gt;"Closed","",IF($B229="Short",-1,1)*((N(M229)-H229)*N(L229)+(N(O229)-H229)*N(N229)+(Q229-H229)*Y229)-N(R229))</f>
        <v/>
      </c>
      <c r="AD229" s="25" t="str">
        <f aca="false">IF(OR(AC229="",N(Z229)=0),"",AC229/Z229)</f>
        <v/>
      </c>
      <c r="AE229" s="25" t="str">
        <f aca="false">IF(OR(S229="",N(Z229)=0),"",IF($B229="Short",-1,1)*(S229-H229)*G229/Z229)</f>
        <v/>
      </c>
      <c r="AF229" s="25" t="str">
        <f aca="false">IF(OR(T229="",N(Z229)=0),"",IF($B229="Short",-1,1)*(T229-H229)*G229/Z229)</f>
        <v/>
      </c>
      <c r="AG229" s="21" t="str">
        <f aca="false">IF(U229&lt;&gt;"Open","",Y229*MAX(0,IF($B229="Short",-1,1)*(H229-IF(K229="",I229,K229))))</f>
        <v/>
      </c>
      <c r="AH229" s="26" t="str">
        <f aca="false">IF(U229&lt;&gt;"Closed","",DATE(YEAR(P229),MONTH(P229),1))</f>
        <v/>
      </c>
      <c r="AI229" s="19" t="str">
        <f aca="false">IF(U229&lt;&gt;"Closed","",COUNTIFS($U$7:$U$506,"Closed",$P$7:$P$506,"&lt;"&amp;P229)+COUNTIFS($U$7:U229,"Closed",$P$7:P229,P229))</f>
        <v/>
      </c>
    </row>
    <row r="230" customFormat="false" ht="15" hidden="false" customHeight="false" outlineLevel="0" collapsed="false">
      <c r="A230" s="13"/>
      <c r="B230" s="14"/>
      <c r="C230" s="14"/>
      <c r="D230" s="14"/>
      <c r="E230" s="15"/>
      <c r="F230" s="15"/>
      <c r="G230" s="16"/>
      <c r="H230" s="17"/>
      <c r="I230" s="17"/>
      <c r="J230" s="17"/>
      <c r="K230" s="17"/>
      <c r="L230" s="16"/>
      <c r="M230" s="17"/>
      <c r="N230" s="16"/>
      <c r="O230" s="17"/>
      <c r="P230" s="15"/>
      <c r="Q230" s="17"/>
      <c r="R230" s="17"/>
      <c r="S230" s="17"/>
      <c r="T230" s="17"/>
      <c r="U230" s="18" t="str">
        <f aca="false">IF(A230="","",IF(N(G230)-N(L230)-N(N230)&lt;0,"Check shares",IF(AND(P230&lt;&gt;"",Q230&lt;&gt;""),"Closed","Open")))</f>
        <v/>
      </c>
      <c r="V230" s="19" t="str">
        <f aca="false">IF(OR(F230="",P230=""),"",NETWORKDAYS(F230,P230,Lists!$F$5:$F$40)-1)</f>
        <v/>
      </c>
      <c r="W230" s="18" t="str">
        <f aca="false">IF(V230="","",IF(V230=0,"Same day","Overnight"))</f>
        <v/>
      </c>
      <c r="X230" s="18" t="str">
        <f aca="false">IF(OR(E230="",F230=""),"",IF(AND(E230&gt;=F230,OR(P230="",E230&lt;=P230)),"Yes","No"))</f>
        <v/>
      </c>
      <c r="Y230" s="20" t="str">
        <f aca="false">IF(A230="","",N(G230)-N(L230)-N(N230))</f>
        <v/>
      </c>
      <c r="Z230" s="21" t="str">
        <f aca="false">IF(OR(G230="",H230="",I230=""),"",ABS(H230-I230)*G230)</f>
        <v/>
      </c>
      <c r="AA230" s="22" t="str">
        <f aca="false">IF(OR(J230="",N(Z230)=0),"",ABS(J230-H230)/ABS(H230-I230))</f>
        <v/>
      </c>
      <c r="AB230" s="23" t="str">
        <f aca="false">IF(U230&lt;&gt;"Closed","",(N(L230)*N(M230)+N(N230)*N(O230)+Y230*Q230)/G230)</f>
        <v/>
      </c>
      <c r="AC230" s="24" t="str">
        <f aca="false">IF(U230&lt;&gt;"Closed","",IF($B230="Short",-1,1)*((N(M230)-H230)*N(L230)+(N(O230)-H230)*N(N230)+(Q230-H230)*Y230)-N(R230))</f>
        <v/>
      </c>
      <c r="AD230" s="25" t="str">
        <f aca="false">IF(OR(AC230="",N(Z230)=0),"",AC230/Z230)</f>
        <v/>
      </c>
      <c r="AE230" s="25" t="str">
        <f aca="false">IF(OR(S230="",N(Z230)=0),"",IF($B230="Short",-1,1)*(S230-H230)*G230/Z230)</f>
        <v/>
      </c>
      <c r="AF230" s="25" t="str">
        <f aca="false">IF(OR(T230="",N(Z230)=0),"",IF($B230="Short",-1,1)*(T230-H230)*G230/Z230)</f>
        <v/>
      </c>
      <c r="AG230" s="21" t="str">
        <f aca="false">IF(U230&lt;&gt;"Open","",Y230*MAX(0,IF($B230="Short",-1,1)*(H230-IF(K230="",I230,K230))))</f>
        <v/>
      </c>
      <c r="AH230" s="26" t="str">
        <f aca="false">IF(U230&lt;&gt;"Closed","",DATE(YEAR(P230),MONTH(P230),1))</f>
        <v/>
      </c>
      <c r="AI230" s="19" t="str">
        <f aca="false">IF(U230&lt;&gt;"Closed","",COUNTIFS($U$7:$U$506,"Closed",$P$7:$P$506,"&lt;"&amp;P230)+COUNTIFS($U$7:U230,"Closed",$P$7:P230,P230))</f>
        <v/>
      </c>
    </row>
    <row r="231" customFormat="false" ht="15" hidden="false" customHeight="false" outlineLevel="0" collapsed="false">
      <c r="A231" s="13"/>
      <c r="B231" s="14"/>
      <c r="C231" s="14"/>
      <c r="D231" s="14"/>
      <c r="E231" s="15"/>
      <c r="F231" s="15"/>
      <c r="G231" s="16"/>
      <c r="H231" s="17"/>
      <c r="I231" s="17"/>
      <c r="J231" s="17"/>
      <c r="K231" s="17"/>
      <c r="L231" s="16"/>
      <c r="M231" s="17"/>
      <c r="N231" s="16"/>
      <c r="O231" s="17"/>
      <c r="P231" s="15"/>
      <c r="Q231" s="17"/>
      <c r="R231" s="17"/>
      <c r="S231" s="17"/>
      <c r="T231" s="17"/>
      <c r="U231" s="18" t="str">
        <f aca="false">IF(A231="","",IF(N(G231)-N(L231)-N(N231)&lt;0,"Check shares",IF(AND(P231&lt;&gt;"",Q231&lt;&gt;""),"Closed","Open")))</f>
        <v/>
      </c>
      <c r="V231" s="19" t="str">
        <f aca="false">IF(OR(F231="",P231=""),"",NETWORKDAYS(F231,P231,Lists!$F$5:$F$40)-1)</f>
        <v/>
      </c>
      <c r="W231" s="18" t="str">
        <f aca="false">IF(V231="","",IF(V231=0,"Same day","Overnight"))</f>
        <v/>
      </c>
      <c r="X231" s="18" t="str">
        <f aca="false">IF(OR(E231="",F231=""),"",IF(AND(E231&gt;=F231,OR(P231="",E231&lt;=P231)),"Yes","No"))</f>
        <v/>
      </c>
      <c r="Y231" s="20" t="str">
        <f aca="false">IF(A231="","",N(G231)-N(L231)-N(N231))</f>
        <v/>
      </c>
      <c r="Z231" s="21" t="str">
        <f aca="false">IF(OR(G231="",H231="",I231=""),"",ABS(H231-I231)*G231)</f>
        <v/>
      </c>
      <c r="AA231" s="22" t="str">
        <f aca="false">IF(OR(J231="",N(Z231)=0),"",ABS(J231-H231)/ABS(H231-I231))</f>
        <v/>
      </c>
      <c r="AB231" s="23" t="str">
        <f aca="false">IF(U231&lt;&gt;"Closed","",(N(L231)*N(M231)+N(N231)*N(O231)+Y231*Q231)/G231)</f>
        <v/>
      </c>
      <c r="AC231" s="24" t="str">
        <f aca="false">IF(U231&lt;&gt;"Closed","",IF($B231="Short",-1,1)*((N(M231)-H231)*N(L231)+(N(O231)-H231)*N(N231)+(Q231-H231)*Y231)-N(R231))</f>
        <v/>
      </c>
      <c r="AD231" s="25" t="str">
        <f aca="false">IF(OR(AC231="",N(Z231)=0),"",AC231/Z231)</f>
        <v/>
      </c>
      <c r="AE231" s="25" t="str">
        <f aca="false">IF(OR(S231="",N(Z231)=0),"",IF($B231="Short",-1,1)*(S231-H231)*G231/Z231)</f>
        <v/>
      </c>
      <c r="AF231" s="25" t="str">
        <f aca="false">IF(OR(T231="",N(Z231)=0),"",IF($B231="Short",-1,1)*(T231-H231)*G231/Z231)</f>
        <v/>
      </c>
      <c r="AG231" s="21" t="str">
        <f aca="false">IF(U231&lt;&gt;"Open","",Y231*MAX(0,IF($B231="Short",-1,1)*(H231-IF(K231="",I231,K231))))</f>
        <v/>
      </c>
      <c r="AH231" s="26" t="str">
        <f aca="false">IF(U231&lt;&gt;"Closed","",DATE(YEAR(P231),MONTH(P231),1))</f>
        <v/>
      </c>
      <c r="AI231" s="19" t="str">
        <f aca="false">IF(U231&lt;&gt;"Closed","",COUNTIFS($U$7:$U$506,"Closed",$P$7:$P$506,"&lt;"&amp;P231)+COUNTIFS($U$7:U231,"Closed",$P$7:P231,P231))</f>
        <v/>
      </c>
    </row>
    <row r="232" customFormat="false" ht="15" hidden="false" customHeight="false" outlineLevel="0" collapsed="false">
      <c r="A232" s="13"/>
      <c r="B232" s="14"/>
      <c r="C232" s="14"/>
      <c r="D232" s="14"/>
      <c r="E232" s="15"/>
      <c r="F232" s="15"/>
      <c r="G232" s="16"/>
      <c r="H232" s="17"/>
      <c r="I232" s="17"/>
      <c r="J232" s="17"/>
      <c r="K232" s="17"/>
      <c r="L232" s="16"/>
      <c r="M232" s="17"/>
      <c r="N232" s="16"/>
      <c r="O232" s="17"/>
      <c r="P232" s="15"/>
      <c r="Q232" s="17"/>
      <c r="R232" s="17"/>
      <c r="S232" s="17"/>
      <c r="T232" s="17"/>
      <c r="U232" s="18" t="str">
        <f aca="false">IF(A232="","",IF(N(G232)-N(L232)-N(N232)&lt;0,"Check shares",IF(AND(P232&lt;&gt;"",Q232&lt;&gt;""),"Closed","Open")))</f>
        <v/>
      </c>
      <c r="V232" s="19" t="str">
        <f aca="false">IF(OR(F232="",P232=""),"",NETWORKDAYS(F232,P232,Lists!$F$5:$F$40)-1)</f>
        <v/>
      </c>
      <c r="W232" s="18" t="str">
        <f aca="false">IF(V232="","",IF(V232=0,"Same day","Overnight"))</f>
        <v/>
      </c>
      <c r="X232" s="18" t="str">
        <f aca="false">IF(OR(E232="",F232=""),"",IF(AND(E232&gt;=F232,OR(P232="",E232&lt;=P232)),"Yes","No"))</f>
        <v/>
      </c>
      <c r="Y232" s="20" t="str">
        <f aca="false">IF(A232="","",N(G232)-N(L232)-N(N232))</f>
        <v/>
      </c>
      <c r="Z232" s="21" t="str">
        <f aca="false">IF(OR(G232="",H232="",I232=""),"",ABS(H232-I232)*G232)</f>
        <v/>
      </c>
      <c r="AA232" s="22" t="str">
        <f aca="false">IF(OR(J232="",N(Z232)=0),"",ABS(J232-H232)/ABS(H232-I232))</f>
        <v/>
      </c>
      <c r="AB232" s="23" t="str">
        <f aca="false">IF(U232&lt;&gt;"Closed","",(N(L232)*N(M232)+N(N232)*N(O232)+Y232*Q232)/G232)</f>
        <v/>
      </c>
      <c r="AC232" s="24" t="str">
        <f aca="false">IF(U232&lt;&gt;"Closed","",IF($B232="Short",-1,1)*((N(M232)-H232)*N(L232)+(N(O232)-H232)*N(N232)+(Q232-H232)*Y232)-N(R232))</f>
        <v/>
      </c>
      <c r="AD232" s="25" t="str">
        <f aca="false">IF(OR(AC232="",N(Z232)=0),"",AC232/Z232)</f>
        <v/>
      </c>
      <c r="AE232" s="25" t="str">
        <f aca="false">IF(OR(S232="",N(Z232)=0),"",IF($B232="Short",-1,1)*(S232-H232)*G232/Z232)</f>
        <v/>
      </c>
      <c r="AF232" s="25" t="str">
        <f aca="false">IF(OR(T232="",N(Z232)=0),"",IF($B232="Short",-1,1)*(T232-H232)*G232/Z232)</f>
        <v/>
      </c>
      <c r="AG232" s="21" t="str">
        <f aca="false">IF(U232&lt;&gt;"Open","",Y232*MAX(0,IF($B232="Short",-1,1)*(H232-IF(K232="",I232,K232))))</f>
        <v/>
      </c>
      <c r="AH232" s="26" t="str">
        <f aca="false">IF(U232&lt;&gt;"Closed","",DATE(YEAR(P232),MONTH(P232),1))</f>
        <v/>
      </c>
      <c r="AI232" s="19" t="str">
        <f aca="false">IF(U232&lt;&gt;"Closed","",COUNTIFS($U$7:$U$506,"Closed",$P$7:$P$506,"&lt;"&amp;P232)+COUNTIFS($U$7:U232,"Closed",$P$7:P232,P232))</f>
        <v/>
      </c>
    </row>
    <row r="233" customFormat="false" ht="15" hidden="false" customHeight="false" outlineLevel="0" collapsed="false">
      <c r="A233" s="13"/>
      <c r="B233" s="14"/>
      <c r="C233" s="14"/>
      <c r="D233" s="14"/>
      <c r="E233" s="15"/>
      <c r="F233" s="15"/>
      <c r="G233" s="16"/>
      <c r="H233" s="17"/>
      <c r="I233" s="17"/>
      <c r="J233" s="17"/>
      <c r="K233" s="17"/>
      <c r="L233" s="16"/>
      <c r="M233" s="17"/>
      <c r="N233" s="16"/>
      <c r="O233" s="17"/>
      <c r="P233" s="15"/>
      <c r="Q233" s="17"/>
      <c r="R233" s="17"/>
      <c r="S233" s="17"/>
      <c r="T233" s="17"/>
      <c r="U233" s="18" t="str">
        <f aca="false">IF(A233="","",IF(N(G233)-N(L233)-N(N233)&lt;0,"Check shares",IF(AND(P233&lt;&gt;"",Q233&lt;&gt;""),"Closed","Open")))</f>
        <v/>
      </c>
      <c r="V233" s="19" t="str">
        <f aca="false">IF(OR(F233="",P233=""),"",NETWORKDAYS(F233,P233,Lists!$F$5:$F$40)-1)</f>
        <v/>
      </c>
      <c r="W233" s="18" t="str">
        <f aca="false">IF(V233="","",IF(V233=0,"Same day","Overnight"))</f>
        <v/>
      </c>
      <c r="X233" s="18" t="str">
        <f aca="false">IF(OR(E233="",F233=""),"",IF(AND(E233&gt;=F233,OR(P233="",E233&lt;=P233)),"Yes","No"))</f>
        <v/>
      </c>
      <c r="Y233" s="20" t="str">
        <f aca="false">IF(A233="","",N(G233)-N(L233)-N(N233))</f>
        <v/>
      </c>
      <c r="Z233" s="21" t="str">
        <f aca="false">IF(OR(G233="",H233="",I233=""),"",ABS(H233-I233)*G233)</f>
        <v/>
      </c>
      <c r="AA233" s="22" t="str">
        <f aca="false">IF(OR(J233="",N(Z233)=0),"",ABS(J233-H233)/ABS(H233-I233))</f>
        <v/>
      </c>
      <c r="AB233" s="23" t="str">
        <f aca="false">IF(U233&lt;&gt;"Closed","",(N(L233)*N(M233)+N(N233)*N(O233)+Y233*Q233)/G233)</f>
        <v/>
      </c>
      <c r="AC233" s="24" t="str">
        <f aca="false">IF(U233&lt;&gt;"Closed","",IF($B233="Short",-1,1)*((N(M233)-H233)*N(L233)+(N(O233)-H233)*N(N233)+(Q233-H233)*Y233)-N(R233))</f>
        <v/>
      </c>
      <c r="AD233" s="25" t="str">
        <f aca="false">IF(OR(AC233="",N(Z233)=0),"",AC233/Z233)</f>
        <v/>
      </c>
      <c r="AE233" s="25" t="str">
        <f aca="false">IF(OR(S233="",N(Z233)=0),"",IF($B233="Short",-1,1)*(S233-H233)*G233/Z233)</f>
        <v/>
      </c>
      <c r="AF233" s="25" t="str">
        <f aca="false">IF(OR(T233="",N(Z233)=0),"",IF($B233="Short",-1,1)*(T233-H233)*G233/Z233)</f>
        <v/>
      </c>
      <c r="AG233" s="21" t="str">
        <f aca="false">IF(U233&lt;&gt;"Open","",Y233*MAX(0,IF($B233="Short",-1,1)*(H233-IF(K233="",I233,K233))))</f>
        <v/>
      </c>
      <c r="AH233" s="26" t="str">
        <f aca="false">IF(U233&lt;&gt;"Closed","",DATE(YEAR(P233),MONTH(P233),1))</f>
        <v/>
      </c>
      <c r="AI233" s="19" t="str">
        <f aca="false">IF(U233&lt;&gt;"Closed","",COUNTIFS($U$7:$U$506,"Closed",$P$7:$P$506,"&lt;"&amp;P233)+COUNTIFS($U$7:U233,"Closed",$P$7:P233,P233))</f>
        <v/>
      </c>
    </row>
    <row r="234" customFormat="false" ht="15" hidden="false" customHeight="false" outlineLevel="0" collapsed="false">
      <c r="A234" s="13"/>
      <c r="B234" s="14"/>
      <c r="C234" s="14"/>
      <c r="D234" s="14"/>
      <c r="E234" s="15"/>
      <c r="F234" s="15"/>
      <c r="G234" s="16"/>
      <c r="H234" s="17"/>
      <c r="I234" s="17"/>
      <c r="J234" s="17"/>
      <c r="K234" s="17"/>
      <c r="L234" s="16"/>
      <c r="M234" s="17"/>
      <c r="N234" s="16"/>
      <c r="O234" s="17"/>
      <c r="P234" s="15"/>
      <c r="Q234" s="17"/>
      <c r="R234" s="17"/>
      <c r="S234" s="17"/>
      <c r="T234" s="17"/>
      <c r="U234" s="18" t="str">
        <f aca="false">IF(A234="","",IF(N(G234)-N(L234)-N(N234)&lt;0,"Check shares",IF(AND(P234&lt;&gt;"",Q234&lt;&gt;""),"Closed","Open")))</f>
        <v/>
      </c>
      <c r="V234" s="19" t="str">
        <f aca="false">IF(OR(F234="",P234=""),"",NETWORKDAYS(F234,P234,Lists!$F$5:$F$40)-1)</f>
        <v/>
      </c>
      <c r="W234" s="18" t="str">
        <f aca="false">IF(V234="","",IF(V234=0,"Same day","Overnight"))</f>
        <v/>
      </c>
      <c r="X234" s="18" t="str">
        <f aca="false">IF(OR(E234="",F234=""),"",IF(AND(E234&gt;=F234,OR(P234="",E234&lt;=P234)),"Yes","No"))</f>
        <v/>
      </c>
      <c r="Y234" s="20" t="str">
        <f aca="false">IF(A234="","",N(G234)-N(L234)-N(N234))</f>
        <v/>
      </c>
      <c r="Z234" s="21" t="str">
        <f aca="false">IF(OR(G234="",H234="",I234=""),"",ABS(H234-I234)*G234)</f>
        <v/>
      </c>
      <c r="AA234" s="22" t="str">
        <f aca="false">IF(OR(J234="",N(Z234)=0),"",ABS(J234-H234)/ABS(H234-I234))</f>
        <v/>
      </c>
      <c r="AB234" s="23" t="str">
        <f aca="false">IF(U234&lt;&gt;"Closed","",(N(L234)*N(M234)+N(N234)*N(O234)+Y234*Q234)/G234)</f>
        <v/>
      </c>
      <c r="AC234" s="24" t="str">
        <f aca="false">IF(U234&lt;&gt;"Closed","",IF($B234="Short",-1,1)*((N(M234)-H234)*N(L234)+(N(O234)-H234)*N(N234)+(Q234-H234)*Y234)-N(R234))</f>
        <v/>
      </c>
      <c r="AD234" s="25" t="str">
        <f aca="false">IF(OR(AC234="",N(Z234)=0),"",AC234/Z234)</f>
        <v/>
      </c>
      <c r="AE234" s="25" t="str">
        <f aca="false">IF(OR(S234="",N(Z234)=0),"",IF($B234="Short",-1,1)*(S234-H234)*G234/Z234)</f>
        <v/>
      </c>
      <c r="AF234" s="25" t="str">
        <f aca="false">IF(OR(T234="",N(Z234)=0),"",IF($B234="Short",-1,1)*(T234-H234)*G234/Z234)</f>
        <v/>
      </c>
      <c r="AG234" s="21" t="str">
        <f aca="false">IF(U234&lt;&gt;"Open","",Y234*MAX(0,IF($B234="Short",-1,1)*(H234-IF(K234="",I234,K234))))</f>
        <v/>
      </c>
      <c r="AH234" s="26" t="str">
        <f aca="false">IF(U234&lt;&gt;"Closed","",DATE(YEAR(P234),MONTH(P234),1))</f>
        <v/>
      </c>
      <c r="AI234" s="19" t="str">
        <f aca="false">IF(U234&lt;&gt;"Closed","",COUNTIFS($U$7:$U$506,"Closed",$P$7:$P$506,"&lt;"&amp;P234)+COUNTIFS($U$7:U234,"Closed",$P$7:P234,P234))</f>
        <v/>
      </c>
    </row>
    <row r="235" customFormat="false" ht="15" hidden="false" customHeight="false" outlineLevel="0" collapsed="false">
      <c r="A235" s="13"/>
      <c r="B235" s="14"/>
      <c r="C235" s="14"/>
      <c r="D235" s="14"/>
      <c r="E235" s="15"/>
      <c r="F235" s="15"/>
      <c r="G235" s="16"/>
      <c r="H235" s="17"/>
      <c r="I235" s="17"/>
      <c r="J235" s="17"/>
      <c r="K235" s="17"/>
      <c r="L235" s="16"/>
      <c r="M235" s="17"/>
      <c r="N235" s="16"/>
      <c r="O235" s="17"/>
      <c r="P235" s="15"/>
      <c r="Q235" s="17"/>
      <c r="R235" s="17"/>
      <c r="S235" s="17"/>
      <c r="T235" s="17"/>
      <c r="U235" s="18" t="str">
        <f aca="false">IF(A235="","",IF(N(G235)-N(L235)-N(N235)&lt;0,"Check shares",IF(AND(P235&lt;&gt;"",Q235&lt;&gt;""),"Closed","Open")))</f>
        <v/>
      </c>
      <c r="V235" s="19" t="str">
        <f aca="false">IF(OR(F235="",P235=""),"",NETWORKDAYS(F235,P235,Lists!$F$5:$F$40)-1)</f>
        <v/>
      </c>
      <c r="W235" s="18" t="str">
        <f aca="false">IF(V235="","",IF(V235=0,"Same day","Overnight"))</f>
        <v/>
      </c>
      <c r="X235" s="18" t="str">
        <f aca="false">IF(OR(E235="",F235=""),"",IF(AND(E235&gt;=F235,OR(P235="",E235&lt;=P235)),"Yes","No"))</f>
        <v/>
      </c>
      <c r="Y235" s="20" t="str">
        <f aca="false">IF(A235="","",N(G235)-N(L235)-N(N235))</f>
        <v/>
      </c>
      <c r="Z235" s="21" t="str">
        <f aca="false">IF(OR(G235="",H235="",I235=""),"",ABS(H235-I235)*G235)</f>
        <v/>
      </c>
      <c r="AA235" s="22" t="str">
        <f aca="false">IF(OR(J235="",N(Z235)=0),"",ABS(J235-H235)/ABS(H235-I235))</f>
        <v/>
      </c>
      <c r="AB235" s="23" t="str">
        <f aca="false">IF(U235&lt;&gt;"Closed","",(N(L235)*N(M235)+N(N235)*N(O235)+Y235*Q235)/G235)</f>
        <v/>
      </c>
      <c r="AC235" s="24" t="str">
        <f aca="false">IF(U235&lt;&gt;"Closed","",IF($B235="Short",-1,1)*((N(M235)-H235)*N(L235)+(N(O235)-H235)*N(N235)+(Q235-H235)*Y235)-N(R235))</f>
        <v/>
      </c>
      <c r="AD235" s="25" t="str">
        <f aca="false">IF(OR(AC235="",N(Z235)=0),"",AC235/Z235)</f>
        <v/>
      </c>
      <c r="AE235" s="25" t="str">
        <f aca="false">IF(OR(S235="",N(Z235)=0),"",IF($B235="Short",-1,1)*(S235-H235)*G235/Z235)</f>
        <v/>
      </c>
      <c r="AF235" s="25" t="str">
        <f aca="false">IF(OR(T235="",N(Z235)=0),"",IF($B235="Short",-1,1)*(T235-H235)*G235/Z235)</f>
        <v/>
      </c>
      <c r="AG235" s="21" t="str">
        <f aca="false">IF(U235&lt;&gt;"Open","",Y235*MAX(0,IF($B235="Short",-1,1)*(H235-IF(K235="",I235,K235))))</f>
        <v/>
      </c>
      <c r="AH235" s="26" t="str">
        <f aca="false">IF(U235&lt;&gt;"Closed","",DATE(YEAR(P235),MONTH(P235),1))</f>
        <v/>
      </c>
      <c r="AI235" s="19" t="str">
        <f aca="false">IF(U235&lt;&gt;"Closed","",COUNTIFS($U$7:$U$506,"Closed",$P$7:$P$506,"&lt;"&amp;P235)+COUNTIFS($U$7:U235,"Closed",$P$7:P235,P235))</f>
        <v/>
      </c>
    </row>
    <row r="236" customFormat="false" ht="15" hidden="false" customHeight="false" outlineLevel="0" collapsed="false">
      <c r="A236" s="13"/>
      <c r="B236" s="14"/>
      <c r="C236" s="14"/>
      <c r="D236" s="14"/>
      <c r="E236" s="15"/>
      <c r="F236" s="15"/>
      <c r="G236" s="16"/>
      <c r="H236" s="17"/>
      <c r="I236" s="17"/>
      <c r="J236" s="17"/>
      <c r="K236" s="17"/>
      <c r="L236" s="16"/>
      <c r="M236" s="17"/>
      <c r="N236" s="16"/>
      <c r="O236" s="17"/>
      <c r="P236" s="15"/>
      <c r="Q236" s="17"/>
      <c r="R236" s="17"/>
      <c r="S236" s="17"/>
      <c r="T236" s="17"/>
      <c r="U236" s="18" t="str">
        <f aca="false">IF(A236="","",IF(N(G236)-N(L236)-N(N236)&lt;0,"Check shares",IF(AND(P236&lt;&gt;"",Q236&lt;&gt;""),"Closed","Open")))</f>
        <v/>
      </c>
      <c r="V236" s="19" t="str">
        <f aca="false">IF(OR(F236="",P236=""),"",NETWORKDAYS(F236,P236,Lists!$F$5:$F$40)-1)</f>
        <v/>
      </c>
      <c r="W236" s="18" t="str">
        <f aca="false">IF(V236="","",IF(V236=0,"Same day","Overnight"))</f>
        <v/>
      </c>
      <c r="X236" s="18" t="str">
        <f aca="false">IF(OR(E236="",F236=""),"",IF(AND(E236&gt;=F236,OR(P236="",E236&lt;=P236)),"Yes","No"))</f>
        <v/>
      </c>
      <c r="Y236" s="20" t="str">
        <f aca="false">IF(A236="","",N(G236)-N(L236)-N(N236))</f>
        <v/>
      </c>
      <c r="Z236" s="21" t="str">
        <f aca="false">IF(OR(G236="",H236="",I236=""),"",ABS(H236-I236)*G236)</f>
        <v/>
      </c>
      <c r="AA236" s="22" t="str">
        <f aca="false">IF(OR(J236="",N(Z236)=0),"",ABS(J236-H236)/ABS(H236-I236))</f>
        <v/>
      </c>
      <c r="AB236" s="23" t="str">
        <f aca="false">IF(U236&lt;&gt;"Closed","",(N(L236)*N(M236)+N(N236)*N(O236)+Y236*Q236)/G236)</f>
        <v/>
      </c>
      <c r="AC236" s="24" t="str">
        <f aca="false">IF(U236&lt;&gt;"Closed","",IF($B236="Short",-1,1)*((N(M236)-H236)*N(L236)+(N(O236)-H236)*N(N236)+(Q236-H236)*Y236)-N(R236))</f>
        <v/>
      </c>
      <c r="AD236" s="25" t="str">
        <f aca="false">IF(OR(AC236="",N(Z236)=0),"",AC236/Z236)</f>
        <v/>
      </c>
      <c r="AE236" s="25" t="str">
        <f aca="false">IF(OR(S236="",N(Z236)=0),"",IF($B236="Short",-1,1)*(S236-H236)*G236/Z236)</f>
        <v/>
      </c>
      <c r="AF236" s="25" t="str">
        <f aca="false">IF(OR(T236="",N(Z236)=0),"",IF($B236="Short",-1,1)*(T236-H236)*G236/Z236)</f>
        <v/>
      </c>
      <c r="AG236" s="21" t="str">
        <f aca="false">IF(U236&lt;&gt;"Open","",Y236*MAX(0,IF($B236="Short",-1,1)*(H236-IF(K236="",I236,K236))))</f>
        <v/>
      </c>
      <c r="AH236" s="26" t="str">
        <f aca="false">IF(U236&lt;&gt;"Closed","",DATE(YEAR(P236),MONTH(P236),1))</f>
        <v/>
      </c>
      <c r="AI236" s="19" t="str">
        <f aca="false">IF(U236&lt;&gt;"Closed","",COUNTIFS($U$7:$U$506,"Closed",$P$7:$P$506,"&lt;"&amp;P236)+COUNTIFS($U$7:U236,"Closed",$P$7:P236,P236))</f>
        <v/>
      </c>
    </row>
    <row r="237" customFormat="false" ht="15" hidden="false" customHeight="false" outlineLevel="0" collapsed="false">
      <c r="A237" s="13"/>
      <c r="B237" s="14"/>
      <c r="C237" s="14"/>
      <c r="D237" s="14"/>
      <c r="E237" s="15"/>
      <c r="F237" s="15"/>
      <c r="G237" s="16"/>
      <c r="H237" s="17"/>
      <c r="I237" s="17"/>
      <c r="J237" s="17"/>
      <c r="K237" s="17"/>
      <c r="L237" s="16"/>
      <c r="M237" s="17"/>
      <c r="N237" s="16"/>
      <c r="O237" s="17"/>
      <c r="P237" s="15"/>
      <c r="Q237" s="17"/>
      <c r="R237" s="17"/>
      <c r="S237" s="17"/>
      <c r="T237" s="17"/>
      <c r="U237" s="18" t="str">
        <f aca="false">IF(A237="","",IF(N(G237)-N(L237)-N(N237)&lt;0,"Check shares",IF(AND(P237&lt;&gt;"",Q237&lt;&gt;""),"Closed","Open")))</f>
        <v/>
      </c>
      <c r="V237" s="19" t="str">
        <f aca="false">IF(OR(F237="",P237=""),"",NETWORKDAYS(F237,P237,Lists!$F$5:$F$40)-1)</f>
        <v/>
      </c>
      <c r="W237" s="18" t="str">
        <f aca="false">IF(V237="","",IF(V237=0,"Same day","Overnight"))</f>
        <v/>
      </c>
      <c r="X237" s="18" t="str">
        <f aca="false">IF(OR(E237="",F237=""),"",IF(AND(E237&gt;=F237,OR(P237="",E237&lt;=P237)),"Yes","No"))</f>
        <v/>
      </c>
      <c r="Y237" s="20" t="str">
        <f aca="false">IF(A237="","",N(G237)-N(L237)-N(N237))</f>
        <v/>
      </c>
      <c r="Z237" s="21" t="str">
        <f aca="false">IF(OR(G237="",H237="",I237=""),"",ABS(H237-I237)*G237)</f>
        <v/>
      </c>
      <c r="AA237" s="22" t="str">
        <f aca="false">IF(OR(J237="",N(Z237)=0),"",ABS(J237-H237)/ABS(H237-I237))</f>
        <v/>
      </c>
      <c r="AB237" s="23" t="str">
        <f aca="false">IF(U237&lt;&gt;"Closed","",(N(L237)*N(M237)+N(N237)*N(O237)+Y237*Q237)/G237)</f>
        <v/>
      </c>
      <c r="AC237" s="24" t="str">
        <f aca="false">IF(U237&lt;&gt;"Closed","",IF($B237="Short",-1,1)*((N(M237)-H237)*N(L237)+(N(O237)-H237)*N(N237)+(Q237-H237)*Y237)-N(R237))</f>
        <v/>
      </c>
      <c r="AD237" s="25" t="str">
        <f aca="false">IF(OR(AC237="",N(Z237)=0),"",AC237/Z237)</f>
        <v/>
      </c>
      <c r="AE237" s="25" t="str">
        <f aca="false">IF(OR(S237="",N(Z237)=0),"",IF($B237="Short",-1,1)*(S237-H237)*G237/Z237)</f>
        <v/>
      </c>
      <c r="AF237" s="25" t="str">
        <f aca="false">IF(OR(T237="",N(Z237)=0),"",IF($B237="Short",-1,1)*(T237-H237)*G237/Z237)</f>
        <v/>
      </c>
      <c r="AG237" s="21" t="str">
        <f aca="false">IF(U237&lt;&gt;"Open","",Y237*MAX(0,IF($B237="Short",-1,1)*(H237-IF(K237="",I237,K237))))</f>
        <v/>
      </c>
      <c r="AH237" s="26" t="str">
        <f aca="false">IF(U237&lt;&gt;"Closed","",DATE(YEAR(P237),MONTH(P237),1))</f>
        <v/>
      </c>
      <c r="AI237" s="19" t="str">
        <f aca="false">IF(U237&lt;&gt;"Closed","",COUNTIFS($U$7:$U$506,"Closed",$P$7:$P$506,"&lt;"&amp;P237)+COUNTIFS($U$7:U237,"Closed",$P$7:P237,P237))</f>
        <v/>
      </c>
    </row>
    <row r="238" customFormat="false" ht="15" hidden="false" customHeight="false" outlineLevel="0" collapsed="false">
      <c r="A238" s="13"/>
      <c r="B238" s="14"/>
      <c r="C238" s="14"/>
      <c r="D238" s="14"/>
      <c r="E238" s="15"/>
      <c r="F238" s="15"/>
      <c r="G238" s="16"/>
      <c r="H238" s="17"/>
      <c r="I238" s="17"/>
      <c r="J238" s="17"/>
      <c r="K238" s="17"/>
      <c r="L238" s="16"/>
      <c r="M238" s="17"/>
      <c r="N238" s="16"/>
      <c r="O238" s="17"/>
      <c r="P238" s="15"/>
      <c r="Q238" s="17"/>
      <c r="R238" s="17"/>
      <c r="S238" s="17"/>
      <c r="T238" s="17"/>
      <c r="U238" s="18" t="str">
        <f aca="false">IF(A238="","",IF(N(G238)-N(L238)-N(N238)&lt;0,"Check shares",IF(AND(P238&lt;&gt;"",Q238&lt;&gt;""),"Closed","Open")))</f>
        <v/>
      </c>
      <c r="V238" s="19" t="str">
        <f aca="false">IF(OR(F238="",P238=""),"",NETWORKDAYS(F238,P238,Lists!$F$5:$F$40)-1)</f>
        <v/>
      </c>
      <c r="W238" s="18" t="str">
        <f aca="false">IF(V238="","",IF(V238=0,"Same day","Overnight"))</f>
        <v/>
      </c>
      <c r="X238" s="18" t="str">
        <f aca="false">IF(OR(E238="",F238=""),"",IF(AND(E238&gt;=F238,OR(P238="",E238&lt;=P238)),"Yes","No"))</f>
        <v/>
      </c>
      <c r="Y238" s="20" t="str">
        <f aca="false">IF(A238="","",N(G238)-N(L238)-N(N238))</f>
        <v/>
      </c>
      <c r="Z238" s="21" t="str">
        <f aca="false">IF(OR(G238="",H238="",I238=""),"",ABS(H238-I238)*G238)</f>
        <v/>
      </c>
      <c r="AA238" s="22" t="str">
        <f aca="false">IF(OR(J238="",N(Z238)=0),"",ABS(J238-H238)/ABS(H238-I238))</f>
        <v/>
      </c>
      <c r="AB238" s="23" t="str">
        <f aca="false">IF(U238&lt;&gt;"Closed","",(N(L238)*N(M238)+N(N238)*N(O238)+Y238*Q238)/G238)</f>
        <v/>
      </c>
      <c r="AC238" s="24" t="str">
        <f aca="false">IF(U238&lt;&gt;"Closed","",IF($B238="Short",-1,1)*((N(M238)-H238)*N(L238)+(N(O238)-H238)*N(N238)+(Q238-H238)*Y238)-N(R238))</f>
        <v/>
      </c>
      <c r="AD238" s="25" t="str">
        <f aca="false">IF(OR(AC238="",N(Z238)=0),"",AC238/Z238)</f>
        <v/>
      </c>
      <c r="AE238" s="25" t="str">
        <f aca="false">IF(OR(S238="",N(Z238)=0),"",IF($B238="Short",-1,1)*(S238-H238)*G238/Z238)</f>
        <v/>
      </c>
      <c r="AF238" s="25" t="str">
        <f aca="false">IF(OR(T238="",N(Z238)=0),"",IF($B238="Short",-1,1)*(T238-H238)*G238/Z238)</f>
        <v/>
      </c>
      <c r="AG238" s="21" t="str">
        <f aca="false">IF(U238&lt;&gt;"Open","",Y238*MAX(0,IF($B238="Short",-1,1)*(H238-IF(K238="",I238,K238))))</f>
        <v/>
      </c>
      <c r="AH238" s="26" t="str">
        <f aca="false">IF(U238&lt;&gt;"Closed","",DATE(YEAR(P238),MONTH(P238),1))</f>
        <v/>
      </c>
      <c r="AI238" s="19" t="str">
        <f aca="false">IF(U238&lt;&gt;"Closed","",COUNTIFS($U$7:$U$506,"Closed",$P$7:$P$506,"&lt;"&amp;P238)+COUNTIFS($U$7:U238,"Closed",$P$7:P238,P238))</f>
        <v/>
      </c>
    </row>
    <row r="239" customFormat="false" ht="15" hidden="false" customHeight="false" outlineLevel="0" collapsed="false">
      <c r="A239" s="13"/>
      <c r="B239" s="14"/>
      <c r="C239" s="14"/>
      <c r="D239" s="14"/>
      <c r="E239" s="15"/>
      <c r="F239" s="15"/>
      <c r="G239" s="16"/>
      <c r="H239" s="17"/>
      <c r="I239" s="17"/>
      <c r="J239" s="17"/>
      <c r="K239" s="17"/>
      <c r="L239" s="16"/>
      <c r="M239" s="17"/>
      <c r="N239" s="16"/>
      <c r="O239" s="17"/>
      <c r="P239" s="15"/>
      <c r="Q239" s="17"/>
      <c r="R239" s="17"/>
      <c r="S239" s="17"/>
      <c r="T239" s="17"/>
      <c r="U239" s="18" t="str">
        <f aca="false">IF(A239="","",IF(N(G239)-N(L239)-N(N239)&lt;0,"Check shares",IF(AND(P239&lt;&gt;"",Q239&lt;&gt;""),"Closed","Open")))</f>
        <v/>
      </c>
      <c r="V239" s="19" t="str">
        <f aca="false">IF(OR(F239="",P239=""),"",NETWORKDAYS(F239,P239,Lists!$F$5:$F$40)-1)</f>
        <v/>
      </c>
      <c r="W239" s="18" t="str">
        <f aca="false">IF(V239="","",IF(V239=0,"Same day","Overnight"))</f>
        <v/>
      </c>
      <c r="X239" s="18" t="str">
        <f aca="false">IF(OR(E239="",F239=""),"",IF(AND(E239&gt;=F239,OR(P239="",E239&lt;=P239)),"Yes","No"))</f>
        <v/>
      </c>
      <c r="Y239" s="20" t="str">
        <f aca="false">IF(A239="","",N(G239)-N(L239)-N(N239))</f>
        <v/>
      </c>
      <c r="Z239" s="21" t="str">
        <f aca="false">IF(OR(G239="",H239="",I239=""),"",ABS(H239-I239)*G239)</f>
        <v/>
      </c>
      <c r="AA239" s="22" t="str">
        <f aca="false">IF(OR(J239="",N(Z239)=0),"",ABS(J239-H239)/ABS(H239-I239))</f>
        <v/>
      </c>
      <c r="AB239" s="23" t="str">
        <f aca="false">IF(U239&lt;&gt;"Closed","",(N(L239)*N(M239)+N(N239)*N(O239)+Y239*Q239)/G239)</f>
        <v/>
      </c>
      <c r="AC239" s="24" t="str">
        <f aca="false">IF(U239&lt;&gt;"Closed","",IF($B239="Short",-1,1)*((N(M239)-H239)*N(L239)+(N(O239)-H239)*N(N239)+(Q239-H239)*Y239)-N(R239))</f>
        <v/>
      </c>
      <c r="AD239" s="25" t="str">
        <f aca="false">IF(OR(AC239="",N(Z239)=0),"",AC239/Z239)</f>
        <v/>
      </c>
      <c r="AE239" s="25" t="str">
        <f aca="false">IF(OR(S239="",N(Z239)=0),"",IF($B239="Short",-1,1)*(S239-H239)*G239/Z239)</f>
        <v/>
      </c>
      <c r="AF239" s="25" t="str">
        <f aca="false">IF(OR(T239="",N(Z239)=0),"",IF($B239="Short",-1,1)*(T239-H239)*G239/Z239)</f>
        <v/>
      </c>
      <c r="AG239" s="21" t="str">
        <f aca="false">IF(U239&lt;&gt;"Open","",Y239*MAX(0,IF($B239="Short",-1,1)*(H239-IF(K239="",I239,K239))))</f>
        <v/>
      </c>
      <c r="AH239" s="26" t="str">
        <f aca="false">IF(U239&lt;&gt;"Closed","",DATE(YEAR(P239),MONTH(P239),1))</f>
        <v/>
      </c>
      <c r="AI239" s="19" t="str">
        <f aca="false">IF(U239&lt;&gt;"Closed","",COUNTIFS($U$7:$U$506,"Closed",$P$7:$P$506,"&lt;"&amp;P239)+COUNTIFS($U$7:U239,"Closed",$P$7:P239,P239))</f>
        <v/>
      </c>
    </row>
    <row r="240" customFormat="false" ht="15" hidden="false" customHeight="false" outlineLevel="0" collapsed="false">
      <c r="A240" s="13"/>
      <c r="B240" s="14"/>
      <c r="C240" s="14"/>
      <c r="D240" s="14"/>
      <c r="E240" s="15"/>
      <c r="F240" s="15"/>
      <c r="G240" s="16"/>
      <c r="H240" s="17"/>
      <c r="I240" s="17"/>
      <c r="J240" s="17"/>
      <c r="K240" s="17"/>
      <c r="L240" s="16"/>
      <c r="M240" s="17"/>
      <c r="N240" s="16"/>
      <c r="O240" s="17"/>
      <c r="P240" s="15"/>
      <c r="Q240" s="17"/>
      <c r="R240" s="17"/>
      <c r="S240" s="17"/>
      <c r="T240" s="17"/>
      <c r="U240" s="18" t="str">
        <f aca="false">IF(A240="","",IF(N(G240)-N(L240)-N(N240)&lt;0,"Check shares",IF(AND(P240&lt;&gt;"",Q240&lt;&gt;""),"Closed","Open")))</f>
        <v/>
      </c>
      <c r="V240" s="19" t="str">
        <f aca="false">IF(OR(F240="",P240=""),"",NETWORKDAYS(F240,P240,Lists!$F$5:$F$40)-1)</f>
        <v/>
      </c>
      <c r="W240" s="18" t="str">
        <f aca="false">IF(V240="","",IF(V240=0,"Same day","Overnight"))</f>
        <v/>
      </c>
      <c r="X240" s="18" t="str">
        <f aca="false">IF(OR(E240="",F240=""),"",IF(AND(E240&gt;=F240,OR(P240="",E240&lt;=P240)),"Yes","No"))</f>
        <v/>
      </c>
      <c r="Y240" s="20" t="str">
        <f aca="false">IF(A240="","",N(G240)-N(L240)-N(N240))</f>
        <v/>
      </c>
      <c r="Z240" s="21" t="str">
        <f aca="false">IF(OR(G240="",H240="",I240=""),"",ABS(H240-I240)*G240)</f>
        <v/>
      </c>
      <c r="AA240" s="22" t="str">
        <f aca="false">IF(OR(J240="",N(Z240)=0),"",ABS(J240-H240)/ABS(H240-I240))</f>
        <v/>
      </c>
      <c r="AB240" s="23" t="str">
        <f aca="false">IF(U240&lt;&gt;"Closed","",(N(L240)*N(M240)+N(N240)*N(O240)+Y240*Q240)/G240)</f>
        <v/>
      </c>
      <c r="AC240" s="24" t="str">
        <f aca="false">IF(U240&lt;&gt;"Closed","",IF($B240="Short",-1,1)*((N(M240)-H240)*N(L240)+(N(O240)-H240)*N(N240)+(Q240-H240)*Y240)-N(R240))</f>
        <v/>
      </c>
      <c r="AD240" s="25" t="str">
        <f aca="false">IF(OR(AC240="",N(Z240)=0),"",AC240/Z240)</f>
        <v/>
      </c>
      <c r="AE240" s="25" t="str">
        <f aca="false">IF(OR(S240="",N(Z240)=0),"",IF($B240="Short",-1,1)*(S240-H240)*G240/Z240)</f>
        <v/>
      </c>
      <c r="AF240" s="25" t="str">
        <f aca="false">IF(OR(T240="",N(Z240)=0),"",IF($B240="Short",-1,1)*(T240-H240)*G240/Z240)</f>
        <v/>
      </c>
      <c r="AG240" s="21" t="str">
        <f aca="false">IF(U240&lt;&gt;"Open","",Y240*MAX(0,IF($B240="Short",-1,1)*(H240-IF(K240="",I240,K240))))</f>
        <v/>
      </c>
      <c r="AH240" s="26" t="str">
        <f aca="false">IF(U240&lt;&gt;"Closed","",DATE(YEAR(P240),MONTH(P240),1))</f>
        <v/>
      </c>
      <c r="AI240" s="19" t="str">
        <f aca="false">IF(U240&lt;&gt;"Closed","",COUNTIFS($U$7:$U$506,"Closed",$P$7:$P$506,"&lt;"&amp;P240)+COUNTIFS($U$7:U240,"Closed",$P$7:P240,P240))</f>
        <v/>
      </c>
    </row>
    <row r="241" customFormat="false" ht="15" hidden="false" customHeight="false" outlineLevel="0" collapsed="false">
      <c r="A241" s="13"/>
      <c r="B241" s="14"/>
      <c r="C241" s="14"/>
      <c r="D241" s="14"/>
      <c r="E241" s="15"/>
      <c r="F241" s="15"/>
      <c r="G241" s="16"/>
      <c r="H241" s="17"/>
      <c r="I241" s="17"/>
      <c r="J241" s="17"/>
      <c r="K241" s="17"/>
      <c r="L241" s="16"/>
      <c r="M241" s="17"/>
      <c r="N241" s="16"/>
      <c r="O241" s="17"/>
      <c r="P241" s="15"/>
      <c r="Q241" s="17"/>
      <c r="R241" s="17"/>
      <c r="S241" s="17"/>
      <c r="T241" s="17"/>
      <c r="U241" s="18" t="str">
        <f aca="false">IF(A241="","",IF(N(G241)-N(L241)-N(N241)&lt;0,"Check shares",IF(AND(P241&lt;&gt;"",Q241&lt;&gt;""),"Closed","Open")))</f>
        <v/>
      </c>
      <c r="V241" s="19" t="str">
        <f aca="false">IF(OR(F241="",P241=""),"",NETWORKDAYS(F241,P241,Lists!$F$5:$F$40)-1)</f>
        <v/>
      </c>
      <c r="W241" s="18" t="str">
        <f aca="false">IF(V241="","",IF(V241=0,"Same day","Overnight"))</f>
        <v/>
      </c>
      <c r="X241" s="18" t="str">
        <f aca="false">IF(OR(E241="",F241=""),"",IF(AND(E241&gt;=F241,OR(P241="",E241&lt;=P241)),"Yes","No"))</f>
        <v/>
      </c>
      <c r="Y241" s="20" t="str">
        <f aca="false">IF(A241="","",N(G241)-N(L241)-N(N241))</f>
        <v/>
      </c>
      <c r="Z241" s="21" t="str">
        <f aca="false">IF(OR(G241="",H241="",I241=""),"",ABS(H241-I241)*G241)</f>
        <v/>
      </c>
      <c r="AA241" s="22" t="str">
        <f aca="false">IF(OR(J241="",N(Z241)=0),"",ABS(J241-H241)/ABS(H241-I241))</f>
        <v/>
      </c>
      <c r="AB241" s="23" t="str">
        <f aca="false">IF(U241&lt;&gt;"Closed","",(N(L241)*N(M241)+N(N241)*N(O241)+Y241*Q241)/G241)</f>
        <v/>
      </c>
      <c r="AC241" s="24" t="str">
        <f aca="false">IF(U241&lt;&gt;"Closed","",IF($B241="Short",-1,1)*((N(M241)-H241)*N(L241)+(N(O241)-H241)*N(N241)+(Q241-H241)*Y241)-N(R241))</f>
        <v/>
      </c>
      <c r="AD241" s="25" t="str">
        <f aca="false">IF(OR(AC241="",N(Z241)=0),"",AC241/Z241)</f>
        <v/>
      </c>
      <c r="AE241" s="25" t="str">
        <f aca="false">IF(OR(S241="",N(Z241)=0),"",IF($B241="Short",-1,1)*(S241-H241)*G241/Z241)</f>
        <v/>
      </c>
      <c r="AF241" s="25" t="str">
        <f aca="false">IF(OR(T241="",N(Z241)=0),"",IF($B241="Short",-1,1)*(T241-H241)*G241/Z241)</f>
        <v/>
      </c>
      <c r="AG241" s="21" t="str">
        <f aca="false">IF(U241&lt;&gt;"Open","",Y241*MAX(0,IF($B241="Short",-1,1)*(H241-IF(K241="",I241,K241))))</f>
        <v/>
      </c>
      <c r="AH241" s="26" t="str">
        <f aca="false">IF(U241&lt;&gt;"Closed","",DATE(YEAR(P241),MONTH(P241),1))</f>
        <v/>
      </c>
      <c r="AI241" s="19" t="str">
        <f aca="false">IF(U241&lt;&gt;"Closed","",COUNTIFS($U$7:$U$506,"Closed",$P$7:$P$506,"&lt;"&amp;P241)+COUNTIFS($U$7:U241,"Closed",$P$7:P241,P241))</f>
        <v/>
      </c>
    </row>
    <row r="242" customFormat="false" ht="15" hidden="false" customHeight="false" outlineLevel="0" collapsed="false">
      <c r="A242" s="13"/>
      <c r="B242" s="14"/>
      <c r="C242" s="14"/>
      <c r="D242" s="14"/>
      <c r="E242" s="15"/>
      <c r="F242" s="15"/>
      <c r="G242" s="16"/>
      <c r="H242" s="17"/>
      <c r="I242" s="17"/>
      <c r="J242" s="17"/>
      <c r="K242" s="17"/>
      <c r="L242" s="16"/>
      <c r="M242" s="17"/>
      <c r="N242" s="16"/>
      <c r="O242" s="17"/>
      <c r="P242" s="15"/>
      <c r="Q242" s="17"/>
      <c r="R242" s="17"/>
      <c r="S242" s="17"/>
      <c r="T242" s="17"/>
      <c r="U242" s="18" t="str">
        <f aca="false">IF(A242="","",IF(N(G242)-N(L242)-N(N242)&lt;0,"Check shares",IF(AND(P242&lt;&gt;"",Q242&lt;&gt;""),"Closed","Open")))</f>
        <v/>
      </c>
      <c r="V242" s="19" t="str">
        <f aca="false">IF(OR(F242="",P242=""),"",NETWORKDAYS(F242,P242,Lists!$F$5:$F$40)-1)</f>
        <v/>
      </c>
      <c r="W242" s="18" t="str">
        <f aca="false">IF(V242="","",IF(V242=0,"Same day","Overnight"))</f>
        <v/>
      </c>
      <c r="X242" s="18" t="str">
        <f aca="false">IF(OR(E242="",F242=""),"",IF(AND(E242&gt;=F242,OR(P242="",E242&lt;=P242)),"Yes","No"))</f>
        <v/>
      </c>
      <c r="Y242" s="20" t="str">
        <f aca="false">IF(A242="","",N(G242)-N(L242)-N(N242))</f>
        <v/>
      </c>
      <c r="Z242" s="21" t="str">
        <f aca="false">IF(OR(G242="",H242="",I242=""),"",ABS(H242-I242)*G242)</f>
        <v/>
      </c>
      <c r="AA242" s="22" t="str">
        <f aca="false">IF(OR(J242="",N(Z242)=0),"",ABS(J242-H242)/ABS(H242-I242))</f>
        <v/>
      </c>
      <c r="AB242" s="23" t="str">
        <f aca="false">IF(U242&lt;&gt;"Closed","",(N(L242)*N(M242)+N(N242)*N(O242)+Y242*Q242)/G242)</f>
        <v/>
      </c>
      <c r="AC242" s="24" t="str">
        <f aca="false">IF(U242&lt;&gt;"Closed","",IF($B242="Short",-1,1)*((N(M242)-H242)*N(L242)+(N(O242)-H242)*N(N242)+(Q242-H242)*Y242)-N(R242))</f>
        <v/>
      </c>
      <c r="AD242" s="25" t="str">
        <f aca="false">IF(OR(AC242="",N(Z242)=0),"",AC242/Z242)</f>
        <v/>
      </c>
      <c r="AE242" s="25" t="str">
        <f aca="false">IF(OR(S242="",N(Z242)=0),"",IF($B242="Short",-1,1)*(S242-H242)*G242/Z242)</f>
        <v/>
      </c>
      <c r="AF242" s="25" t="str">
        <f aca="false">IF(OR(T242="",N(Z242)=0),"",IF($B242="Short",-1,1)*(T242-H242)*G242/Z242)</f>
        <v/>
      </c>
      <c r="AG242" s="21" t="str">
        <f aca="false">IF(U242&lt;&gt;"Open","",Y242*MAX(0,IF($B242="Short",-1,1)*(H242-IF(K242="",I242,K242))))</f>
        <v/>
      </c>
      <c r="AH242" s="26" t="str">
        <f aca="false">IF(U242&lt;&gt;"Closed","",DATE(YEAR(P242),MONTH(P242),1))</f>
        <v/>
      </c>
      <c r="AI242" s="19" t="str">
        <f aca="false">IF(U242&lt;&gt;"Closed","",COUNTIFS($U$7:$U$506,"Closed",$P$7:$P$506,"&lt;"&amp;P242)+COUNTIFS($U$7:U242,"Closed",$P$7:P242,P242))</f>
        <v/>
      </c>
    </row>
    <row r="243" customFormat="false" ht="15" hidden="false" customHeight="false" outlineLevel="0" collapsed="false">
      <c r="A243" s="13"/>
      <c r="B243" s="14"/>
      <c r="C243" s="14"/>
      <c r="D243" s="14"/>
      <c r="E243" s="15"/>
      <c r="F243" s="15"/>
      <c r="G243" s="16"/>
      <c r="H243" s="17"/>
      <c r="I243" s="17"/>
      <c r="J243" s="17"/>
      <c r="K243" s="17"/>
      <c r="L243" s="16"/>
      <c r="M243" s="17"/>
      <c r="N243" s="16"/>
      <c r="O243" s="17"/>
      <c r="P243" s="15"/>
      <c r="Q243" s="17"/>
      <c r="R243" s="17"/>
      <c r="S243" s="17"/>
      <c r="T243" s="17"/>
      <c r="U243" s="18" t="str">
        <f aca="false">IF(A243="","",IF(N(G243)-N(L243)-N(N243)&lt;0,"Check shares",IF(AND(P243&lt;&gt;"",Q243&lt;&gt;""),"Closed","Open")))</f>
        <v/>
      </c>
      <c r="V243" s="19" t="str">
        <f aca="false">IF(OR(F243="",P243=""),"",NETWORKDAYS(F243,P243,Lists!$F$5:$F$40)-1)</f>
        <v/>
      </c>
      <c r="W243" s="18" t="str">
        <f aca="false">IF(V243="","",IF(V243=0,"Same day","Overnight"))</f>
        <v/>
      </c>
      <c r="X243" s="18" t="str">
        <f aca="false">IF(OR(E243="",F243=""),"",IF(AND(E243&gt;=F243,OR(P243="",E243&lt;=P243)),"Yes","No"))</f>
        <v/>
      </c>
      <c r="Y243" s="20" t="str">
        <f aca="false">IF(A243="","",N(G243)-N(L243)-N(N243))</f>
        <v/>
      </c>
      <c r="Z243" s="21" t="str">
        <f aca="false">IF(OR(G243="",H243="",I243=""),"",ABS(H243-I243)*G243)</f>
        <v/>
      </c>
      <c r="AA243" s="22" t="str">
        <f aca="false">IF(OR(J243="",N(Z243)=0),"",ABS(J243-H243)/ABS(H243-I243))</f>
        <v/>
      </c>
      <c r="AB243" s="23" t="str">
        <f aca="false">IF(U243&lt;&gt;"Closed","",(N(L243)*N(M243)+N(N243)*N(O243)+Y243*Q243)/G243)</f>
        <v/>
      </c>
      <c r="AC243" s="24" t="str">
        <f aca="false">IF(U243&lt;&gt;"Closed","",IF($B243="Short",-1,1)*((N(M243)-H243)*N(L243)+(N(O243)-H243)*N(N243)+(Q243-H243)*Y243)-N(R243))</f>
        <v/>
      </c>
      <c r="AD243" s="25" t="str">
        <f aca="false">IF(OR(AC243="",N(Z243)=0),"",AC243/Z243)</f>
        <v/>
      </c>
      <c r="AE243" s="25" t="str">
        <f aca="false">IF(OR(S243="",N(Z243)=0),"",IF($B243="Short",-1,1)*(S243-H243)*G243/Z243)</f>
        <v/>
      </c>
      <c r="AF243" s="25" t="str">
        <f aca="false">IF(OR(T243="",N(Z243)=0),"",IF($B243="Short",-1,1)*(T243-H243)*G243/Z243)</f>
        <v/>
      </c>
      <c r="AG243" s="21" t="str">
        <f aca="false">IF(U243&lt;&gt;"Open","",Y243*MAX(0,IF($B243="Short",-1,1)*(H243-IF(K243="",I243,K243))))</f>
        <v/>
      </c>
      <c r="AH243" s="26" t="str">
        <f aca="false">IF(U243&lt;&gt;"Closed","",DATE(YEAR(P243),MONTH(P243),1))</f>
        <v/>
      </c>
      <c r="AI243" s="19" t="str">
        <f aca="false">IF(U243&lt;&gt;"Closed","",COUNTIFS($U$7:$U$506,"Closed",$P$7:$P$506,"&lt;"&amp;P243)+COUNTIFS($U$7:U243,"Closed",$P$7:P243,P243))</f>
        <v/>
      </c>
    </row>
    <row r="244" customFormat="false" ht="15" hidden="false" customHeight="false" outlineLevel="0" collapsed="false">
      <c r="A244" s="13"/>
      <c r="B244" s="14"/>
      <c r="C244" s="14"/>
      <c r="D244" s="14"/>
      <c r="E244" s="15"/>
      <c r="F244" s="15"/>
      <c r="G244" s="16"/>
      <c r="H244" s="17"/>
      <c r="I244" s="17"/>
      <c r="J244" s="17"/>
      <c r="K244" s="17"/>
      <c r="L244" s="16"/>
      <c r="M244" s="17"/>
      <c r="N244" s="16"/>
      <c r="O244" s="17"/>
      <c r="P244" s="15"/>
      <c r="Q244" s="17"/>
      <c r="R244" s="17"/>
      <c r="S244" s="17"/>
      <c r="T244" s="17"/>
      <c r="U244" s="18" t="str">
        <f aca="false">IF(A244="","",IF(N(G244)-N(L244)-N(N244)&lt;0,"Check shares",IF(AND(P244&lt;&gt;"",Q244&lt;&gt;""),"Closed","Open")))</f>
        <v/>
      </c>
      <c r="V244" s="19" t="str">
        <f aca="false">IF(OR(F244="",P244=""),"",NETWORKDAYS(F244,P244,Lists!$F$5:$F$40)-1)</f>
        <v/>
      </c>
      <c r="W244" s="18" t="str">
        <f aca="false">IF(V244="","",IF(V244=0,"Same day","Overnight"))</f>
        <v/>
      </c>
      <c r="X244" s="18" t="str">
        <f aca="false">IF(OR(E244="",F244=""),"",IF(AND(E244&gt;=F244,OR(P244="",E244&lt;=P244)),"Yes","No"))</f>
        <v/>
      </c>
      <c r="Y244" s="20" t="str">
        <f aca="false">IF(A244="","",N(G244)-N(L244)-N(N244))</f>
        <v/>
      </c>
      <c r="Z244" s="21" t="str">
        <f aca="false">IF(OR(G244="",H244="",I244=""),"",ABS(H244-I244)*G244)</f>
        <v/>
      </c>
      <c r="AA244" s="22" t="str">
        <f aca="false">IF(OR(J244="",N(Z244)=0),"",ABS(J244-H244)/ABS(H244-I244))</f>
        <v/>
      </c>
      <c r="AB244" s="23" t="str">
        <f aca="false">IF(U244&lt;&gt;"Closed","",(N(L244)*N(M244)+N(N244)*N(O244)+Y244*Q244)/G244)</f>
        <v/>
      </c>
      <c r="AC244" s="24" t="str">
        <f aca="false">IF(U244&lt;&gt;"Closed","",IF($B244="Short",-1,1)*((N(M244)-H244)*N(L244)+(N(O244)-H244)*N(N244)+(Q244-H244)*Y244)-N(R244))</f>
        <v/>
      </c>
      <c r="AD244" s="25" t="str">
        <f aca="false">IF(OR(AC244="",N(Z244)=0),"",AC244/Z244)</f>
        <v/>
      </c>
      <c r="AE244" s="25" t="str">
        <f aca="false">IF(OR(S244="",N(Z244)=0),"",IF($B244="Short",-1,1)*(S244-H244)*G244/Z244)</f>
        <v/>
      </c>
      <c r="AF244" s="25" t="str">
        <f aca="false">IF(OR(T244="",N(Z244)=0),"",IF($B244="Short",-1,1)*(T244-H244)*G244/Z244)</f>
        <v/>
      </c>
      <c r="AG244" s="21" t="str">
        <f aca="false">IF(U244&lt;&gt;"Open","",Y244*MAX(0,IF($B244="Short",-1,1)*(H244-IF(K244="",I244,K244))))</f>
        <v/>
      </c>
      <c r="AH244" s="26" t="str">
        <f aca="false">IF(U244&lt;&gt;"Closed","",DATE(YEAR(P244),MONTH(P244),1))</f>
        <v/>
      </c>
      <c r="AI244" s="19" t="str">
        <f aca="false">IF(U244&lt;&gt;"Closed","",COUNTIFS($U$7:$U$506,"Closed",$P$7:$P$506,"&lt;"&amp;P244)+COUNTIFS($U$7:U244,"Closed",$P$7:P244,P244))</f>
        <v/>
      </c>
    </row>
    <row r="245" customFormat="false" ht="15" hidden="false" customHeight="false" outlineLevel="0" collapsed="false">
      <c r="A245" s="13"/>
      <c r="B245" s="14"/>
      <c r="C245" s="14"/>
      <c r="D245" s="14"/>
      <c r="E245" s="15"/>
      <c r="F245" s="15"/>
      <c r="G245" s="16"/>
      <c r="H245" s="17"/>
      <c r="I245" s="17"/>
      <c r="J245" s="17"/>
      <c r="K245" s="17"/>
      <c r="L245" s="16"/>
      <c r="M245" s="17"/>
      <c r="N245" s="16"/>
      <c r="O245" s="17"/>
      <c r="P245" s="15"/>
      <c r="Q245" s="17"/>
      <c r="R245" s="17"/>
      <c r="S245" s="17"/>
      <c r="T245" s="17"/>
      <c r="U245" s="18" t="str">
        <f aca="false">IF(A245="","",IF(N(G245)-N(L245)-N(N245)&lt;0,"Check shares",IF(AND(P245&lt;&gt;"",Q245&lt;&gt;""),"Closed","Open")))</f>
        <v/>
      </c>
      <c r="V245" s="19" t="str">
        <f aca="false">IF(OR(F245="",P245=""),"",NETWORKDAYS(F245,P245,Lists!$F$5:$F$40)-1)</f>
        <v/>
      </c>
      <c r="W245" s="18" t="str">
        <f aca="false">IF(V245="","",IF(V245=0,"Same day","Overnight"))</f>
        <v/>
      </c>
      <c r="X245" s="18" t="str">
        <f aca="false">IF(OR(E245="",F245=""),"",IF(AND(E245&gt;=F245,OR(P245="",E245&lt;=P245)),"Yes","No"))</f>
        <v/>
      </c>
      <c r="Y245" s="20" t="str">
        <f aca="false">IF(A245="","",N(G245)-N(L245)-N(N245))</f>
        <v/>
      </c>
      <c r="Z245" s="21" t="str">
        <f aca="false">IF(OR(G245="",H245="",I245=""),"",ABS(H245-I245)*G245)</f>
        <v/>
      </c>
      <c r="AA245" s="22" t="str">
        <f aca="false">IF(OR(J245="",N(Z245)=0),"",ABS(J245-H245)/ABS(H245-I245))</f>
        <v/>
      </c>
      <c r="AB245" s="23" t="str">
        <f aca="false">IF(U245&lt;&gt;"Closed","",(N(L245)*N(M245)+N(N245)*N(O245)+Y245*Q245)/G245)</f>
        <v/>
      </c>
      <c r="AC245" s="24" t="str">
        <f aca="false">IF(U245&lt;&gt;"Closed","",IF($B245="Short",-1,1)*((N(M245)-H245)*N(L245)+(N(O245)-H245)*N(N245)+(Q245-H245)*Y245)-N(R245))</f>
        <v/>
      </c>
      <c r="AD245" s="25" t="str">
        <f aca="false">IF(OR(AC245="",N(Z245)=0),"",AC245/Z245)</f>
        <v/>
      </c>
      <c r="AE245" s="25" t="str">
        <f aca="false">IF(OR(S245="",N(Z245)=0),"",IF($B245="Short",-1,1)*(S245-H245)*G245/Z245)</f>
        <v/>
      </c>
      <c r="AF245" s="25" t="str">
        <f aca="false">IF(OR(T245="",N(Z245)=0),"",IF($B245="Short",-1,1)*(T245-H245)*G245/Z245)</f>
        <v/>
      </c>
      <c r="AG245" s="21" t="str">
        <f aca="false">IF(U245&lt;&gt;"Open","",Y245*MAX(0,IF($B245="Short",-1,1)*(H245-IF(K245="",I245,K245))))</f>
        <v/>
      </c>
      <c r="AH245" s="26" t="str">
        <f aca="false">IF(U245&lt;&gt;"Closed","",DATE(YEAR(P245),MONTH(P245),1))</f>
        <v/>
      </c>
      <c r="AI245" s="19" t="str">
        <f aca="false">IF(U245&lt;&gt;"Closed","",COUNTIFS($U$7:$U$506,"Closed",$P$7:$P$506,"&lt;"&amp;P245)+COUNTIFS($U$7:U245,"Closed",$P$7:P245,P245))</f>
        <v/>
      </c>
    </row>
    <row r="246" customFormat="false" ht="15" hidden="false" customHeight="false" outlineLevel="0" collapsed="false">
      <c r="A246" s="13"/>
      <c r="B246" s="14"/>
      <c r="C246" s="14"/>
      <c r="D246" s="14"/>
      <c r="E246" s="15"/>
      <c r="F246" s="15"/>
      <c r="G246" s="16"/>
      <c r="H246" s="17"/>
      <c r="I246" s="17"/>
      <c r="J246" s="17"/>
      <c r="K246" s="17"/>
      <c r="L246" s="16"/>
      <c r="M246" s="17"/>
      <c r="N246" s="16"/>
      <c r="O246" s="17"/>
      <c r="P246" s="15"/>
      <c r="Q246" s="17"/>
      <c r="R246" s="17"/>
      <c r="S246" s="17"/>
      <c r="T246" s="17"/>
      <c r="U246" s="18" t="str">
        <f aca="false">IF(A246="","",IF(N(G246)-N(L246)-N(N246)&lt;0,"Check shares",IF(AND(P246&lt;&gt;"",Q246&lt;&gt;""),"Closed","Open")))</f>
        <v/>
      </c>
      <c r="V246" s="19" t="str">
        <f aca="false">IF(OR(F246="",P246=""),"",NETWORKDAYS(F246,P246,Lists!$F$5:$F$40)-1)</f>
        <v/>
      </c>
      <c r="W246" s="18" t="str">
        <f aca="false">IF(V246="","",IF(V246=0,"Same day","Overnight"))</f>
        <v/>
      </c>
      <c r="X246" s="18" t="str">
        <f aca="false">IF(OR(E246="",F246=""),"",IF(AND(E246&gt;=F246,OR(P246="",E246&lt;=P246)),"Yes","No"))</f>
        <v/>
      </c>
      <c r="Y246" s="20" t="str">
        <f aca="false">IF(A246="","",N(G246)-N(L246)-N(N246))</f>
        <v/>
      </c>
      <c r="Z246" s="21" t="str">
        <f aca="false">IF(OR(G246="",H246="",I246=""),"",ABS(H246-I246)*G246)</f>
        <v/>
      </c>
      <c r="AA246" s="22" t="str">
        <f aca="false">IF(OR(J246="",N(Z246)=0),"",ABS(J246-H246)/ABS(H246-I246))</f>
        <v/>
      </c>
      <c r="AB246" s="23" t="str">
        <f aca="false">IF(U246&lt;&gt;"Closed","",(N(L246)*N(M246)+N(N246)*N(O246)+Y246*Q246)/G246)</f>
        <v/>
      </c>
      <c r="AC246" s="24" t="str">
        <f aca="false">IF(U246&lt;&gt;"Closed","",IF($B246="Short",-1,1)*((N(M246)-H246)*N(L246)+(N(O246)-H246)*N(N246)+(Q246-H246)*Y246)-N(R246))</f>
        <v/>
      </c>
      <c r="AD246" s="25" t="str">
        <f aca="false">IF(OR(AC246="",N(Z246)=0),"",AC246/Z246)</f>
        <v/>
      </c>
      <c r="AE246" s="25" t="str">
        <f aca="false">IF(OR(S246="",N(Z246)=0),"",IF($B246="Short",-1,1)*(S246-H246)*G246/Z246)</f>
        <v/>
      </c>
      <c r="AF246" s="25" t="str">
        <f aca="false">IF(OR(T246="",N(Z246)=0),"",IF($B246="Short",-1,1)*(T246-H246)*G246/Z246)</f>
        <v/>
      </c>
      <c r="AG246" s="21" t="str">
        <f aca="false">IF(U246&lt;&gt;"Open","",Y246*MAX(0,IF($B246="Short",-1,1)*(H246-IF(K246="",I246,K246))))</f>
        <v/>
      </c>
      <c r="AH246" s="26" t="str">
        <f aca="false">IF(U246&lt;&gt;"Closed","",DATE(YEAR(P246),MONTH(P246),1))</f>
        <v/>
      </c>
      <c r="AI246" s="19" t="str">
        <f aca="false">IF(U246&lt;&gt;"Closed","",COUNTIFS($U$7:$U$506,"Closed",$P$7:$P$506,"&lt;"&amp;P246)+COUNTIFS($U$7:U246,"Closed",$P$7:P246,P246))</f>
        <v/>
      </c>
    </row>
    <row r="247" customFormat="false" ht="15" hidden="false" customHeight="false" outlineLevel="0" collapsed="false">
      <c r="A247" s="13"/>
      <c r="B247" s="14"/>
      <c r="C247" s="14"/>
      <c r="D247" s="14"/>
      <c r="E247" s="15"/>
      <c r="F247" s="15"/>
      <c r="G247" s="16"/>
      <c r="H247" s="17"/>
      <c r="I247" s="17"/>
      <c r="J247" s="17"/>
      <c r="K247" s="17"/>
      <c r="L247" s="16"/>
      <c r="M247" s="17"/>
      <c r="N247" s="16"/>
      <c r="O247" s="17"/>
      <c r="P247" s="15"/>
      <c r="Q247" s="17"/>
      <c r="R247" s="17"/>
      <c r="S247" s="17"/>
      <c r="T247" s="17"/>
      <c r="U247" s="18" t="str">
        <f aca="false">IF(A247="","",IF(N(G247)-N(L247)-N(N247)&lt;0,"Check shares",IF(AND(P247&lt;&gt;"",Q247&lt;&gt;""),"Closed","Open")))</f>
        <v/>
      </c>
      <c r="V247" s="19" t="str">
        <f aca="false">IF(OR(F247="",P247=""),"",NETWORKDAYS(F247,P247,Lists!$F$5:$F$40)-1)</f>
        <v/>
      </c>
      <c r="W247" s="18" t="str">
        <f aca="false">IF(V247="","",IF(V247=0,"Same day","Overnight"))</f>
        <v/>
      </c>
      <c r="X247" s="18" t="str">
        <f aca="false">IF(OR(E247="",F247=""),"",IF(AND(E247&gt;=F247,OR(P247="",E247&lt;=P247)),"Yes","No"))</f>
        <v/>
      </c>
      <c r="Y247" s="20" t="str">
        <f aca="false">IF(A247="","",N(G247)-N(L247)-N(N247))</f>
        <v/>
      </c>
      <c r="Z247" s="21" t="str">
        <f aca="false">IF(OR(G247="",H247="",I247=""),"",ABS(H247-I247)*G247)</f>
        <v/>
      </c>
      <c r="AA247" s="22" t="str">
        <f aca="false">IF(OR(J247="",N(Z247)=0),"",ABS(J247-H247)/ABS(H247-I247))</f>
        <v/>
      </c>
      <c r="AB247" s="23" t="str">
        <f aca="false">IF(U247&lt;&gt;"Closed","",(N(L247)*N(M247)+N(N247)*N(O247)+Y247*Q247)/G247)</f>
        <v/>
      </c>
      <c r="AC247" s="24" t="str">
        <f aca="false">IF(U247&lt;&gt;"Closed","",IF($B247="Short",-1,1)*((N(M247)-H247)*N(L247)+(N(O247)-H247)*N(N247)+(Q247-H247)*Y247)-N(R247))</f>
        <v/>
      </c>
      <c r="AD247" s="25" t="str">
        <f aca="false">IF(OR(AC247="",N(Z247)=0),"",AC247/Z247)</f>
        <v/>
      </c>
      <c r="AE247" s="25" t="str">
        <f aca="false">IF(OR(S247="",N(Z247)=0),"",IF($B247="Short",-1,1)*(S247-H247)*G247/Z247)</f>
        <v/>
      </c>
      <c r="AF247" s="25" t="str">
        <f aca="false">IF(OR(T247="",N(Z247)=0),"",IF($B247="Short",-1,1)*(T247-H247)*G247/Z247)</f>
        <v/>
      </c>
      <c r="AG247" s="21" t="str">
        <f aca="false">IF(U247&lt;&gt;"Open","",Y247*MAX(0,IF($B247="Short",-1,1)*(H247-IF(K247="",I247,K247))))</f>
        <v/>
      </c>
      <c r="AH247" s="26" t="str">
        <f aca="false">IF(U247&lt;&gt;"Closed","",DATE(YEAR(P247),MONTH(P247),1))</f>
        <v/>
      </c>
      <c r="AI247" s="19" t="str">
        <f aca="false">IF(U247&lt;&gt;"Closed","",COUNTIFS($U$7:$U$506,"Closed",$P$7:$P$506,"&lt;"&amp;P247)+COUNTIFS($U$7:U247,"Closed",$P$7:P247,P247))</f>
        <v/>
      </c>
    </row>
    <row r="248" customFormat="false" ht="15" hidden="false" customHeight="false" outlineLevel="0" collapsed="false">
      <c r="A248" s="13"/>
      <c r="B248" s="14"/>
      <c r="C248" s="14"/>
      <c r="D248" s="14"/>
      <c r="E248" s="15"/>
      <c r="F248" s="15"/>
      <c r="G248" s="16"/>
      <c r="H248" s="17"/>
      <c r="I248" s="17"/>
      <c r="J248" s="17"/>
      <c r="K248" s="17"/>
      <c r="L248" s="16"/>
      <c r="M248" s="17"/>
      <c r="N248" s="16"/>
      <c r="O248" s="17"/>
      <c r="P248" s="15"/>
      <c r="Q248" s="17"/>
      <c r="R248" s="17"/>
      <c r="S248" s="17"/>
      <c r="T248" s="17"/>
      <c r="U248" s="18" t="str">
        <f aca="false">IF(A248="","",IF(N(G248)-N(L248)-N(N248)&lt;0,"Check shares",IF(AND(P248&lt;&gt;"",Q248&lt;&gt;""),"Closed","Open")))</f>
        <v/>
      </c>
      <c r="V248" s="19" t="str">
        <f aca="false">IF(OR(F248="",P248=""),"",NETWORKDAYS(F248,P248,Lists!$F$5:$F$40)-1)</f>
        <v/>
      </c>
      <c r="W248" s="18" t="str">
        <f aca="false">IF(V248="","",IF(V248=0,"Same day","Overnight"))</f>
        <v/>
      </c>
      <c r="X248" s="18" t="str">
        <f aca="false">IF(OR(E248="",F248=""),"",IF(AND(E248&gt;=F248,OR(P248="",E248&lt;=P248)),"Yes","No"))</f>
        <v/>
      </c>
      <c r="Y248" s="20" t="str">
        <f aca="false">IF(A248="","",N(G248)-N(L248)-N(N248))</f>
        <v/>
      </c>
      <c r="Z248" s="21" t="str">
        <f aca="false">IF(OR(G248="",H248="",I248=""),"",ABS(H248-I248)*G248)</f>
        <v/>
      </c>
      <c r="AA248" s="22" t="str">
        <f aca="false">IF(OR(J248="",N(Z248)=0),"",ABS(J248-H248)/ABS(H248-I248))</f>
        <v/>
      </c>
      <c r="AB248" s="23" t="str">
        <f aca="false">IF(U248&lt;&gt;"Closed","",(N(L248)*N(M248)+N(N248)*N(O248)+Y248*Q248)/G248)</f>
        <v/>
      </c>
      <c r="AC248" s="24" t="str">
        <f aca="false">IF(U248&lt;&gt;"Closed","",IF($B248="Short",-1,1)*((N(M248)-H248)*N(L248)+(N(O248)-H248)*N(N248)+(Q248-H248)*Y248)-N(R248))</f>
        <v/>
      </c>
      <c r="AD248" s="25" t="str">
        <f aca="false">IF(OR(AC248="",N(Z248)=0),"",AC248/Z248)</f>
        <v/>
      </c>
      <c r="AE248" s="25" t="str">
        <f aca="false">IF(OR(S248="",N(Z248)=0),"",IF($B248="Short",-1,1)*(S248-H248)*G248/Z248)</f>
        <v/>
      </c>
      <c r="AF248" s="25" t="str">
        <f aca="false">IF(OR(T248="",N(Z248)=0),"",IF($B248="Short",-1,1)*(T248-H248)*G248/Z248)</f>
        <v/>
      </c>
      <c r="AG248" s="21" t="str">
        <f aca="false">IF(U248&lt;&gt;"Open","",Y248*MAX(0,IF($B248="Short",-1,1)*(H248-IF(K248="",I248,K248))))</f>
        <v/>
      </c>
      <c r="AH248" s="26" t="str">
        <f aca="false">IF(U248&lt;&gt;"Closed","",DATE(YEAR(P248),MONTH(P248),1))</f>
        <v/>
      </c>
      <c r="AI248" s="19" t="str">
        <f aca="false">IF(U248&lt;&gt;"Closed","",COUNTIFS($U$7:$U$506,"Closed",$P$7:$P$506,"&lt;"&amp;P248)+COUNTIFS($U$7:U248,"Closed",$P$7:P248,P248))</f>
        <v/>
      </c>
    </row>
    <row r="249" customFormat="false" ht="15" hidden="false" customHeight="false" outlineLevel="0" collapsed="false">
      <c r="A249" s="13"/>
      <c r="B249" s="14"/>
      <c r="C249" s="14"/>
      <c r="D249" s="14"/>
      <c r="E249" s="15"/>
      <c r="F249" s="15"/>
      <c r="G249" s="16"/>
      <c r="H249" s="17"/>
      <c r="I249" s="17"/>
      <c r="J249" s="17"/>
      <c r="K249" s="17"/>
      <c r="L249" s="16"/>
      <c r="M249" s="17"/>
      <c r="N249" s="16"/>
      <c r="O249" s="17"/>
      <c r="P249" s="15"/>
      <c r="Q249" s="17"/>
      <c r="R249" s="17"/>
      <c r="S249" s="17"/>
      <c r="T249" s="17"/>
      <c r="U249" s="18" t="str">
        <f aca="false">IF(A249="","",IF(N(G249)-N(L249)-N(N249)&lt;0,"Check shares",IF(AND(P249&lt;&gt;"",Q249&lt;&gt;""),"Closed","Open")))</f>
        <v/>
      </c>
      <c r="V249" s="19" t="str">
        <f aca="false">IF(OR(F249="",P249=""),"",NETWORKDAYS(F249,P249,Lists!$F$5:$F$40)-1)</f>
        <v/>
      </c>
      <c r="W249" s="18" t="str">
        <f aca="false">IF(V249="","",IF(V249=0,"Same day","Overnight"))</f>
        <v/>
      </c>
      <c r="X249" s="18" t="str">
        <f aca="false">IF(OR(E249="",F249=""),"",IF(AND(E249&gt;=F249,OR(P249="",E249&lt;=P249)),"Yes","No"))</f>
        <v/>
      </c>
      <c r="Y249" s="20" t="str">
        <f aca="false">IF(A249="","",N(G249)-N(L249)-N(N249))</f>
        <v/>
      </c>
      <c r="Z249" s="21" t="str">
        <f aca="false">IF(OR(G249="",H249="",I249=""),"",ABS(H249-I249)*G249)</f>
        <v/>
      </c>
      <c r="AA249" s="22" t="str">
        <f aca="false">IF(OR(J249="",N(Z249)=0),"",ABS(J249-H249)/ABS(H249-I249))</f>
        <v/>
      </c>
      <c r="AB249" s="23" t="str">
        <f aca="false">IF(U249&lt;&gt;"Closed","",(N(L249)*N(M249)+N(N249)*N(O249)+Y249*Q249)/G249)</f>
        <v/>
      </c>
      <c r="AC249" s="24" t="str">
        <f aca="false">IF(U249&lt;&gt;"Closed","",IF($B249="Short",-1,1)*((N(M249)-H249)*N(L249)+(N(O249)-H249)*N(N249)+(Q249-H249)*Y249)-N(R249))</f>
        <v/>
      </c>
      <c r="AD249" s="25" t="str">
        <f aca="false">IF(OR(AC249="",N(Z249)=0),"",AC249/Z249)</f>
        <v/>
      </c>
      <c r="AE249" s="25" t="str">
        <f aca="false">IF(OR(S249="",N(Z249)=0),"",IF($B249="Short",-1,1)*(S249-H249)*G249/Z249)</f>
        <v/>
      </c>
      <c r="AF249" s="25" t="str">
        <f aca="false">IF(OR(T249="",N(Z249)=0),"",IF($B249="Short",-1,1)*(T249-H249)*G249/Z249)</f>
        <v/>
      </c>
      <c r="AG249" s="21" t="str">
        <f aca="false">IF(U249&lt;&gt;"Open","",Y249*MAX(0,IF($B249="Short",-1,1)*(H249-IF(K249="",I249,K249))))</f>
        <v/>
      </c>
      <c r="AH249" s="26" t="str">
        <f aca="false">IF(U249&lt;&gt;"Closed","",DATE(YEAR(P249),MONTH(P249),1))</f>
        <v/>
      </c>
      <c r="AI249" s="19" t="str">
        <f aca="false">IF(U249&lt;&gt;"Closed","",COUNTIFS($U$7:$U$506,"Closed",$P$7:$P$506,"&lt;"&amp;P249)+COUNTIFS($U$7:U249,"Closed",$P$7:P249,P249))</f>
        <v/>
      </c>
    </row>
    <row r="250" customFormat="false" ht="15" hidden="false" customHeight="false" outlineLevel="0" collapsed="false">
      <c r="A250" s="13"/>
      <c r="B250" s="14"/>
      <c r="C250" s="14"/>
      <c r="D250" s="14"/>
      <c r="E250" s="15"/>
      <c r="F250" s="15"/>
      <c r="G250" s="16"/>
      <c r="H250" s="17"/>
      <c r="I250" s="17"/>
      <c r="J250" s="17"/>
      <c r="K250" s="17"/>
      <c r="L250" s="16"/>
      <c r="M250" s="17"/>
      <c r="N250" s="16"/>
      <c r="O250" s="17"/>
      <c r="P250" s="15"/>
      <c r="Q250" s="17"/>
      <c r="R250" s="17"/>
      <c r="S250" s="17"/>
      <c r="T250" s="17"/>
      <c r="U250" s="18" t="str">
        <f aca="false">IF(A250="","",IF(N(G250)-N(L250)-N(N250)&lt;0,"Check shares",IF(AND(P250&lt;&gt;"",Q250&lt;&gt;""),"Closed","Open")))</f>
        <v/>
      </c>
      <c r="V250" s="19" t="str">
        <f aca="false">IF(OR(F250="",P250=""),"",NETWORKDAYS(F250,P250,Lists!$F$5:$F$40)-1)</f>
        <v/>
      </c>
      <c r="W250" s="18" t="str">
        <f aca="false">IF(V250="","",IF(V250=0,"Same day","Overnight"))</f>
        <v/>
      </c>
      <c r="X250" s="18" t="str">
        <f aca="false">IF(OR(E250="",F250=""),"",IF(AND(E250&gt;=F250,OR(P250="",E250&lt;=P250)),"Yes","No"))</f>
        <v/>
      </c>
      <c r="Y250" s="20" t="str">
        <f aca="false">IF(A250="","",N(G250)-N(L250)-N(N250))</f>
        <v/>
      </c>
      <c r="Z250" s="21" t="str">
        <f aca="false">IF(OR(G250="",H250="",I250=""),"",ABS(H250-I250)*G250)</f>
        <v/>
      </c>
      <c r="AA250" s="22" t="str">
        <f aca="false">IF(OR(J250="",N(Z250)=0),"",ABS(J250-H250)/ABS(H250-I250))</f>
        <v/>
      </c>
      <c r="AB250" s="23" t="str">
        <f aca="false">IF(U250&lt;&gt;"Closed","",(N(L250)*N(M250)+N(N250)*N(O250)+Y250*Q250)/G250)</f>
        <v/>
      </c>
      <c r="AC250" s="24" t="str">
        <f aca="false">IF(U250&lt;&gt;"Closed","",IF($B250="Short",-1,1)*((N(M250)-H250)*N(L250)+(N(O250)-H250)*N(N250)+(Q250-H250)*Y250)-N(R250))</f>
        <v/>
      </c>
      <c r="AD250" s="25" t="str">
        <f aca="false">IF(OR(AC250="",N(Z250)=0),"",AC250/Z250)</f>
        <v/>
      </c>
      <c r="AE250" s="25" t="str">
        <f aca="false">IF(OR(S250="",N(Z250)=0),"",IF($B250="Short",-1,1)*(S250-H250)*G250/Z250)</f>
        <v/>
      </c>
      <c r="AF250" s="25" t="str">
        <f aca="false">IF(OR(T250="",N(Z250)=0),"",IF($B250="Short",-1,1)*(T250-H250)*G250/Z250)</f>
        <v/>
      </c>
      <c r="AG250" s="21" t="str">
        <f aca="false">IF(U250&lt;&gt;"Open","",Y250*MAX(0,IF($B250="Short",-1,1)*(H250-IF(K250="",I250,K250))))</f>
        <v/>
      </c>
      <c r="AH250" s="26" t="str">
        <f aca="false">IF(U250&lt;&gt;"Closed","",DATE(YEAR(P250),MONTH(P250),1))</f>
        <v/>
      </c>
      <c r="AI250" s="19" t="str">
        <f aca="false">IF(U250&lt;&gt;"Closed","",COUNTIFS($U$7:$U$506,"Closed",$P$7:$P$506,"&lt;"&amp;P250)+COUNTIFS($U$7:U250,"Closed",$P$7:P250,P250))</f>
        <v/>
      </c>
    </row>
    <row r="251" customFormat="false" ht="15" hidden="false" customHeight="false" outlineLevel="0" collapsed="false">
      <c r="A251" s="13"/>
      <c r="B251" s="14"/>
      <c r="C251" s="14"/>
      <c r="D251" s="14"/>
      <c r="E251" s="15"/>
      <c r="F251" s="15"/>
      <c r="G251" s="16"/>
      <c r="H251" s="17"/>
      <c r="I251" s="17"/>
      <c r="J251" s="17"/>
      <c r="K251" s="17"/>
      <c r="L251" s="16"/>
      <c r="M251" s="17"/>
      <c r="N251" s="16"/>
      <c r="O251" s="17"/>
      <c r="P251" s="15"/>
      <c r="Q251" s="17"/>
      <c r="R251" s="17"/>
      <c r="S251" s="17"/>
      <c r="T251" s="17"/>
      <c r="U251" s="18" t="str">
        <f aca="false">IF(A251="","",IF(N(G251)-N(L251)-N(N251)&lt;0,"Check shares",IF(AND(P251&lt;&gt;"",Q251&lt;&gt;""),"Closed","Open")))</f>
        <v/>
      </c>
      <c r="V251" s="19" t="str">
        <f aca="false">IF(OR(F251="",P251=""),"",NETWORKDAYS(F251,P251,Lists!$F$5:$F$40)-1)</f>
        <v/>
      </c>
      <c r="W251" s="18" t="str">
        <f aca="false">IF(V251="","",IF(V251=0,"Same day","Overnight"))</f>
        <v/>
      </c>
      <c r="X251" s="18" t="str">
        <f aca="false">IF(OR(E251="",F251=""),"",IF(AND(E251&gt;=F251,OR(P251="",E251&lt;=P251)),"Yes","No"))</f>
        <v/>
      </c>
      <c r="Y251" s="20" t="str">
        <f aca="false">IF(A251="","",N(G251)-N(L251)-N(N251))</f>
        <v/>
      </c>
      <c r="Z251" s="21" t="str">
        <f aca="false">IF(OR(G251="",H251="",I251=""),"",ABS(H251-I251)*G251)</f>
        <v/>
      </c>
      <c r="AA251" s="22" t="str">
        <f aca="false">IF(OR(J251="",N(Z251)=0),"",ABS(J251-H251)/ABS(H251-I251))</f>
        <v/>
      </c>
      <c r="AB251" s="23" t="str">
        <f aca="false">IF(U251&lt;&gt;"Closed","",(N(L251)*N(M251)+N(N251)*N(O251)+Y251*Q251)/G251)</f>
        <v/>
      </c>
      <c r="AC251" s="24" t="str">
        <f aca="false">IF(U251&lt;&gt;"Closed","",IF($B251="Short",-1,1)*((N(M251)-H251)*N(L251)+(N(O251)-H251)*N(N251)+(Q251-H251)*Y251)-N(R251))</f>
        <v/>
      </c>
      <c r="AD251" s="25" t="str">
        <f aca="false">IF(OR(AC251="",N(Z251)=0),"",AC251/Z251)</f>
        <v/>
      </c>
      <c r="AE251" s="25" t="str">
        <f aca="false">IF(OR(S251="",N(Z251)=0),"",IF($B251="Short",-1,1)*(S251-H251)*G251/Z251)</f>
        <v/>
      </c>
      <c r="AF251" s="25" t="str">
        <f aca="false">IF(OR(T251="",N(Z251)=0),"",IF($B251="Short",-1,1)*(T251-H251)*G251/Z251)</f>
        <v/>
      </c>
      <c r="AG251" s="21" t="str">
        <f aca="false">IF(U251&lt;&gt;"Open","",Y251*MAX(0,IF($B251="Short",-1,1)*(H251-IF(K251="",I251,K251))))</f>
        <v/>
      </c>
      <c r="AH251" s="26" t="str">
        <f aca="false">IF(U251&lt;&gt;"Closed","",DATE(YEAR(P251),MONTH(P251),1))</f>
        <v/>
      </c>
      <c r="AI251" s="19" t="str">
        <f aca="false">IF(U251&lt;&gt;"Closed","",COUNTIFS($U$7:$U$506,"Closed",$P$7:$P$506,"&lt;"&amp;P251)+COUNTIFS($U$7:U251,"Closed",$P$7:P251,P251))</f>
        <v/>
      </c>
    </row>
    <row r="252" customFormat="false" ht="15" hidden="false" customHeight="false" outlineLevel="0" collapsed="false">
      <c r="A252" s="13"/>
      <c r="B252" s="14"/>
      <c r="C252" s="14"/>
      <c r="D252" s="14"/>
      <c r="E252" s="15"/>
      <c r="F252" s="15"/>
      <c r="G252" s="16"/>
      <c r="H252" s="17"/>
      <c r="I252" s="17"/>
      <c r="J252" s="17"/>
      <c r="K252" s="17"/>
      <c r="L252" s="16"/>
      <c r="M252" s="17"/>
      <c r="N252" s="16"/>
      <c r="O252" s="17"/>
      <c r="P252" s="15"/>
      <c r="Q252" s="17"/>
      <c r="R252" s="17"/>
      <c r="S252" s="17"/>
      <c r="T252" s="17"/>
      <c r="U252" s="18" t="str">
        <f aca="false">IF(A252="","",IF(N(G252)-N(L252)-N(N252)&lt;0,"Check shares",IF(AND(P252&lt;&gt;"",Q252&lt;&gt;""),"Closed","Open")))</f>
        <v/>
      </c>
      <c r="V252" s="19" t="str">
        <f aca="false">IF(OR(F252="",P252=""),"",NETWORKDAYS(F252,P252,Lists!$F$5:$F$40)-1)</f>
        <v/>
      </c>
      <c r="W252" s="18" t="str">
        <f aca="false">IF(V252="","",IF(V252=0,"Same day","Overnight"))</f>
        <v/>
      </c>
      <c r="X252" s="18" t="str">
        <f aca="false">IF(OR(E252="",F252=""),"",IF(AND(E252&gt;=F252,OR(P252="",E252&lt;=P252)),"Yes","No"))</f>
        <v/>
      </c>
      <c r="Y252" s="20" t="str">
        <f aca="false">IF(A252="","",N(G252)-N(L252)-N(N252))</f>
        <v/>
      </c>
      <c r="Z252" s="21" t="str">
        <f aca="false">IF(OR(G252="",H252="",I252=""),"",ABS(H252-I252)*G252)</f>
        <v/>
      </c>
      <c r="AA252" s="22" t="str">
        <f aca="false">IF(OR(J252="",N(Z252)=0),"",ABS(J252-H252)/ABS(H252-I252))</f>
        <v/>
      </c>
      <c r="AB252" s="23" t="str">
        <f aca="false">IF(U252&lt;&gt;"Closed","",(N(L252)*N(M252)+N(N252)*N(O252)+Y252*Q252)/G252)</f>
        <v/>
      </c>
      <c r="AC252" s="24" t="str">
        <f aca="false">IF(U252&lt;&gt;"Closed","",IF($B252="Short",-1,1)*((N(M252)-H252)*N(L252)+(N(O252)-H252)*N(N252)+(Q252-H252)*Y252)-N(R252))</f>
        <v/>
      </c>
      <c r="AD252" s="25" t="str">
        <f aca="false">IF(OR(AC252="",N(Z252)=0),"",AC252/Z252)</f>
        <v/>
      </c>
      <c r="AE252" s="25" t="str">
        <f aca="false">IF(OR(S252="",N(Z252)=0),"",IF($B252="Short",-1,1)*(S252-H252)*G252/Z252)</f>
        <v/>
      </c>
      <c r="AF252" s="25" t="str">
        <f aca="false">IF(OR(T252="",N(Z252)=0),"",IF($B252="Short",-1,1)*(T252-H252)*G252/Z252)</f>
        <v/>
      </c>
      <c r="AG252" s="21" t="str">
        <f aca="false">IF(U252&lt;&gt;"Open","",Y252*MAX(0,IF($B252="Short",-1,1)*(H252-IF(K252="",I252,K252))))</f>
        <v/>
      </c>
      <c r="AH252" s="26" t="str">
        <f aca="false">IF(U252&lt;&gt;"Closed","",DATE(YEAR(P252),MONTH(P252),1))</f>
        <v/>
      </c>
      <c r="AI252" s="19" t="str">
        <f aca="false">IF(U252&lt;&gt;"Closed","",COUNTIFS($U$7:$U$506,"Closed",$P$7:$P$506,"&lt;"&amp;P252)+COUNTIFS($U$7:U252,"Closed",$P$7:P252,P252))</f>
        <v/>
      </c>
    </row>
    <row r="253" customFormat="false" ht="15" hidden="false" customHeight="false" outlineLevel="0" collapsed="false">
      <c r="A253" s="13"/>
      <c r="B253" s="14"/>
      <c r="C253" s="14"/>
      <c r="D253" s="14"/>
      <c r="E253" s="15"/>
      <c r="F253" s="15"/>
      <c r="G253" s="16"/>
      <c r="H253" s="17"/>
      <c r="I253" s="17"/>
      <c r="J253" s="17"/>
      <c r="K253" s="17"/>
      <c r="L253" s="16"/>
      <c r="M253" s="17"/>
      <c r="N253" s="16"/>
      <c r="O253" s="17"/>
      <c r="P253" s="15"/>
      <c r="Q253" s="17"/>
      <c r="R253" s="17"/>
      <c r="S253" s="17"/>
      <c r="T253" s="17"/>
      <c r="U253" s="18" t="str">
        <f aca="false">IF(A253="","",IF(N(G253)-N(L253)-N(N253)&lt;0,"Check shares",IF(AND(P253&lt;&gt;"",Q253&lt;&gt;""),"Closed","Open")))</f>
        <v/>
      </c>
      <c r="V253" s="19" t="str">
        <f aca="false">IF(OR(F253="",P253=""),"",NETWORKDAYS(F253,P253,Lists!$F$5:$F$40)-1)</f>
        <v/>
      </c>
      <c r="W253" s="18" t="str">
        <f aca="false">IF(V253="","",IF(V253=0,"Same day","Overnight"))</f>
        <v/>
      </c>
      <c r="X253" s="18" t="str">
        <f aca="false">IF(OR(E253="",F253=""),"",IF(AND(E253&gt;=F253,OR(P253="",E253&lt;=P253)),"Yes","No"))</f>
        <v/>
      </c>
      <c r="Y253" s="20" t="str">
        <f aca="false">IF(A253="","",N(G253)-N(L253)-N(N253))</f>
        <v/>
      </c>
      <c r="Z253" s="21" t="str">
        <f aca="false">IF(OR(G253="",H253="",I253=""),"",ABS(H253-I253)*G253)</f>
        <v/>
      </c>
      <c r="AA253" s="22" t="str">
        <f aca="false">IF(OR(J253="",N(Z253)=0),"",ABS(J253-H253)/ABS(H253-I253))</f>
        <v/>
      </c>
      <c r="AB253" s="23" t="str">
        <f aca="false">IF(U253&lt;&gt;"Closed","",(N(L253)*N(M253)+N(N253)*N(O253)+Y253*Q253)/G253)</f>
        <v/>
      </c>
      <c r="AC253" s="24" t="str">
        <f aca="false">IF(U253&lt;&gt;"Closed","",IF($B253="Short",-1,1)*((N(M253)-H253)*N(L253)+(N(O253)-H253)*N(N253)+(Q253-H253)*Y253)-N(R253))</f>
        <v/>
      </c>
      <c r="AD253" s="25" t="str">
        <f aca="false">IF(OR(AC253="",N(Z253)=0),"",AC253/Z253)</f>
        <v/>
      </c>
      <c r="AE253" s="25" t="str">
        <f aca="false">IF(OR(S253="",N(Z253)=0),"",IF($B253="Short",-1,1)*(S253-H253)*G253/Z253)</f>
        <v/>
      </c>
      <c r="AF253" s="25" t="str">
        <f aca="false">IF(OR(T253="",N(Z253)=0),"",IF($B253="Short",-1,1)*(T253-H253)*G253/Z253)</f>
        <v/>
      </c>
      <c r="AG253" s="21" t="str">
        <f aca="false">IF(U253&lt;&gt;"Open","",Y253*MAX(0,IF($B253="Short",-1,1)*(H253-IF(K253="",I253,K253))))</f>
        <v/>
      </c>
      <c r="AH253" s="26" t="str">
        <f aca="false">IF(U253&lt;&gt;"Closed","",DATE(YEAR(P253),MONTH(P253),1))</f>
        <v/>
      </c>
      <c r="AI253" s="19" t="str">
        <f aca="false">IF(U253&lt;&gt;"Closed","",COUNTIFS($U$7:$U$506,"Closed",$P$7:$P$506,"&lt;"&amp;P253)+COUNTIFS($U$7:U253,"Closed",$P$7:P253,P253))</f>
        <v/>
      </c>
    </row>
    <row r="254" customFormat="false" ht="15" hidden="false" customHeight="false" outlineLevel="0" collapsed="false">
      <c r="A254" s="13"/>
      <c r="B254" s="14"/>
      <c r="C254" s="14"/>
      <c r="D254" s="14"/>
      <c r="E254" s="15"/>
      <c r="F254" s="15"/>
      <c r="G254" s="16"/>
      <c r="H254" s="17"/>
      <c r="I254" s="17"/>
      <c r="J254" s="17"/>
      <c r="K254" s="17"/>
      <c r="L254" s="16"/>
      <c r="M254" s="17"/>
      <c r="N254" s="16"/>
      <c r="O254" s="17"/>
      <c r="P254" s="15"/>
      <c r="Q254" s="17"/>
      <c r="R254" s="17"/>
      <c r="S254" s="17"/>
      <c r="T254" s="17"/>
      <c r="U254" s="18" t="str">
        <f aca="false">IF(A254="","",IF(N(G254)-N(L254)-N(N254)&lt;0,"Check shares",IF(AND(P254&lt;&gt;"",Q254&lt;&gt;""),"Closed","Open")))</f>
        <v/>
      </c>
      <c r="V254" s="19" t="str">
        <f aca="false">IF(OR(F254="",P254=""),"",NETWORKDAYS(F254,P254,Lists!$F$5:$F$40)-1)</f>
        <v/>
      </c>
      <c r="W254" s="18" t="str">
        <f aca="false">IF(V254="","",IF(V254=0,"Same day","Overnight"))</f>
        <v/>
      </c>
      <c r="X254" s="18" t="str">
        <f aca="false">IF(OR(E254="",F254=""),"",IF(AND(E254&gt;=F254,OR(P254="",E254&lt;=P254)),"Yes","No"))</f>
        <v/>
      </c>
      <c r="Y254" s="20" t="str">
        <f aca="false">IF(A254="","",N(G254)-N(L254)-N(N254))</f>
        <v/>
      </c>
      <c r="Z254" s="21" t="str">
        <f aca="false">IF(OR(G254="",H254="",I254=""),"",ABS(H254-I254)*G254)</f>
        <v/>
      </c>
      <c r="AA254" s="22" t="str">
        <f aca="false">IF(OR(J254="",N(Z254)=0),"",ABS(J254-H254)/ABS(H254-I254))</f>
        <v/>
      </c>
      <c r="AB254" s="23" t="str">
        <f aca="false">IF(U254&lt;&gt;"Closed","",(N(L254)*N(M254)+N(N254)*N(O254)+Y254*Q254)/G254)</f>
        <v/>
      </c>
      <c r="AC254" s="24" t="str">
        <f aca="false">IF(U254&lt;&gt;"Closed","",IF($B254="Short",-1,1)*((N(M254)-H254)*N(L254)+(N(O254)-H254)*N(N254)+(Q254-H254)*Y254)-N(R254))</f>
        <v/>
      </c>
      <c r="AD254" s="25" t="str">
        <f aca="false">IF(OR(AC254="",N(Z254)=0),"",AC254/Z254)</f>
        <v/>
      </c>
      <c r="AE254" s="25" t="str">
        <f aca="false">IF(OR(S254="",N(Z254)=0),"",IF($B254="Short",-1,1)*(S254-H254)*G254/Z254)</f>
        <v/>
      </c>
      <c r="AF254" s="25" t="str">
        <f aca="false">IF(OR(T254="",N(Z254)=0),"",IF($B254="Short",-1,1)*(T254-H254)*G254/Z254)</f>
        <v/>
      </c>
      <c r="AG254" s="21" t="str">
        <f aca="false">IF(U254&lt;&gt;"Open","",Y254*MAX(0,IF($B254="Short",-1,1)*(H254-IF(K254="",I254,K254))))</f>
        <v/>
      </c>
      <c r="AH254" s="26" t="str">
        <f aca="false">IF(U254&lt;&gt;"Closed","",DATE(YEAR(P254),MONTH(P254),1))</f>
        <v/>
      </c>
      <c r="AI254" s="19" t="str">
        <f aca="false">IF(U254&lt;&gt;"Closed","",COUNTIFS($U$7:$U$506,"Closed",$P$7:$P$506,"&lt;"&amp;P254)+COUNTIFS($U$7:U254,"Closed",$P$7:P254,P254))</f>
        <v/>
      </c>
    </row>
    <row r="255" customFormat="false" ht="15" hidden="false" customHeight="false" outlineLevel="0" collapsed="false">
      <c r="A255" s="13"/>
      <c r="B255" s="14"/>
      <c r="C255" s="14"/>
      <c r="D255" s="14"/>
      <c r="E255" s="15"/>
      <c r="F255" s="15"/>
      <c r="G255" s="16"/>
      <c r="H255" s="17"/>
      <c r="I255" s="17"/>
      <c r="J255" s="17"/>
      <c r="K255" s="17"/>
      <c r="L255" s="16"/>
      <c r="M255" s="17"/>
      <c r="N255" s="16"/>
      <c r="O255" s="17"/>
      <c r="P255" s="15"/>
      <c r="Q255" s="17"/>
      <c r="R255" s="17"/>
      <c r="S255" s="17"/>
      <c r="T255" s="17"/>
      <c r="U255" s="18" t="str">
        <f aca="false">IF(A255="","",IF(N(G255)-N(L255)-N(N255)&lt;0,"Check shares",IF(AND(P255&lt;&gt;"",Q255&lt;&gt;""),"Closed","Open")))</f>
        <v/>
      </c>
      <c r="V255" s="19" t="str">
        <f aca="false">IF(OR(F255="",P255=""),"",NETWORKDAYS(F255,P255,Lists!$F$5:$F$40)-1)</f>
        <v/>
      </c>
      <c r="W255" s="18" t="str">
        <f aca="false">IF(V255="","",IF(V255=0,"Same day","Overnight"))</f>
        <v/>
      </c>
      <c r="X255" s="18" t="str">
        <f aca="false">IF(OR(E255="",F255=""),"",IF(AND(E255&gt;=F255,OR(P255="",E255&lt;=P255)),"Yes","No"))</f>
        <v/>
      </c>
      <c r="Y255" s="20" t="str">
        <f aca="false">IF(A255="","",N(G255)-N(L255)-N(N255))</f>
        <v/>
      </c>
      <c r="Z255" s="21" t="str">
        <f aca="false">IF(OR(G255="",H255="",I255=""),"",ABS(H255-I255)*G255)</f>
        <v/>
      </c>
      <c r="AA255" s="22" t="str">
        <f aca="false">IF(OR(J255="",N(Z255)=0),"",ABS(J255-H255)/ABS(H255-I255))</f>
        <v/>
      </c>
      <c r="AB255" s="23" t="str">
        <f aca="false">IF(U255&lt;&gt;"Closed","",(N(L255)*N(M255)+N(N255)*N(O255)+Y255*Q255)/G255)</f>
        <v/>
      </c>
      <c r="AC255" s="24" t="str">
        <f aca="false">IF(U255&lt;&gt;"Closed","",IF($B255="Short",-1,1)*((N(M255)-H255)*N(L255)+(N(O255)-H255)*N(N255)+(Q255-H255)*Y255)-N(R255))</f>
        <v/>
      </c>
      <c r="AD255" s="25" t="str">
        <f aca="false">IF(OR(AC255="",N(Z255)=0),"",AC255/Z255)</f>
        <v/>
      </c>
      <c r="AE255" s="25" t="str">
        <f aca="false">IF(OR(S255="",N(Z255)=0),"",IF($B255="Short",-1,1)*(S255-H255)*G255/Z255)</f>
        <v/>
      </c>
      <c r="AF255" s="25" t="str">
        <f aca="false">IF(OR(T255="",N(Z255)=0),"",IF($B255="Short",-1,1)*(T255-H255)*G255/Z255)</f>
        <v/>
      </c>
      <c r="AG255" s="21" t="str">
        <f aca="false">IF(U255&lt;&gt;"Open","",Y255*MAX(0,IF($B255="Short",-1,1)*(H255-IF(K255="",I255,K255))))</f>
        <v/>
      </c>
      <c r="AH255" s="26" t="str">
        <f aca="false">IF(U255&lt;&gt;"Closed","",DATE(YEAR(P255),MONTH(P255),1))</f>
        <v/>
      </c>
      <c r="AI255" s="19" t="str">
        <f aca="false">IF(U255&lt;&gt;"Closed","",COUNTIFS($U$7:$U$506,"Closed",$P$7:$P$506,"&lt;"&amp;P255)+COUNTIFS($U$7:U255,"Closed",$P$7:P255,P255))</f>
        <v/>
      </c>
    </row>
    <row r="256" customFormat="false" ht="15" hidden="false" customHeight="false" outlineLevel="0" collapsed="false">
      <c r="A256" s="13"/>
      <c r="B256" s="14"/>
      <c r="C256" s="14"/>
      <c r="D256" s="14"/>
      <c r="E256" s="15"/>
      <c r="F256" s="15"/>
      <c r="G256" s="16"/>
      <c r="H256" s="17"/>
      <c r="I256" s="17"/>
      <c r="J256" s="17"/>
      <c r="K256" s="17"/>
      <c r="L256" s="16"/>
      <c r="M256" s="17"/>
      <c r="N256" s="16"/>
      <c r="O256" s="17"/>
      <c r="P256" s="15"/>
      <c r="Q256" s="17"/>
      <c r="R256" s="17"/>
      <c r="S256" s="17"/>
      <c r="T256" s="17"/>
      <c r="U256" s="18" t="str">
        <f aca="false">IF(A256="","",IF(N(G256)-N(L256)-N(N256)&lt;0,"Check shares",IF(AND(P256&lt;&gt;"",Q256&lt;&gt;""),"Closed","Open")))</f>
        <v/>
      </c>
      <c r="V256" s="19" t="str">
        <f aca="false">IF(OR(F256="",P256=""),"",NETWORKDAYS(F256,P256,Lists!$F$5:$F$40)-1)</f>
        <v/>
      </c>
      <c r="W256" s="18" t="str">
        <f aca="false">IF(V256="","",IF(V256=0,"Same day","Overnight"))</f>
        <v/>
      </c>
      <c r="X256" s="18" t="str">
        <f aca="false">IF(OR(E256="",F256=""),"",IF(AND(E256&gt;=F256,OR(P256="",E256&lt;=P256)),"Yes","No"))</f>
        <v/>
      </c>
      <c r="Y256" s="20" t="str">
        <f aca="false">IF(A256="","",N(G256)-N(L256)-N(N256))</f>
        <v/>
      </c>
      <c r="Z256" s="21" t="str">
        <f aca="false">IF(OR(G256="",H256="",I256=""),"",ABS(H256-I256)*G256)</f>
        <v/>
      </c>
      <c r="AA256" s="22" t="str">
        <f aca="false">IF(OR(J256="",N(Z256)=0),"",ABS(J256-H256)/ABS(H256-I256))</f>
        <v/>
      </c>
      <c r="AB256" s="23" t="str">
        <f aca="false">IF(U256&lt;&gt;"Closed","",(N(L256)*N(M256)+N(N256)*N(O256)+Y256*Q256)/G256)</f>
        <v/>
      </c>
      <c r="AC256" s="24" t="str">
        <f aca="false">IF(U256&lt;&gt;"Closed","",IF($B256="Short",-1,1)*((N(M256)-H256)*N(L256)+(N(O256)-H256)*N(N256)+(Q256-H256)*Y256)-N(R256))</f>
        <v/>
      </c>
      <c r="AD256" s="25" t="str">
        <f aca="false">IF(OR(AC256="",N(Z256)=0),"",AC256/Z256)</f>
        <v/>
      </c>
      <c r="AE256" s="25" t="str">
        <f aca="false">IF(OR(S256="",N(Z256)=0),"",IF($B256="Short",-1,1)*(S256-H256)*G256/Z256)</f>
        <v/>
      </c>
      <c r="AF256" s="25" t="str">
        <f aca="false">IF(OR(T256="",N(Z256)=0),"",IF($B256="Short",-1,1)*(T256-H256)*G256/Z256)</f>
        <v/>
      </c>
      <c r="AG256" s="21" t="str">
        <f aca="false">IF(U256&lt;&gt;"Open","",Y256*MAX(0,IF($B256="Short",-1,1)*(H256-IF(K256="",I256,K256))))</f>
        <v/>
      </c>
      <c r="AH256" s="26" t="str">
        <f aca="false">IF(U256&lt;&gt;"Closed","",DATE(YEAR(P256),MONTH(P256),1))</f>
        <v/>
      </c>
      <c r="AI256" s="19" t="str">
        <f aca="false">IF(U256&lt;&gt;"Closed","",COUNTIFS($U$7:$U$506,"Closed",$P$7:$P$506,"&lt;"&amp;P256)+COUNTIFS($U$7:U256,"Closed",$P$7:P256,P256))</f>
        <v/>
      </c>
    </row>
    <row r="257" customFormat="false" ht="15" hidden="false" customHeight="false" outlineLevel="0" collapsed="false">
      <c r="A257" s="13"/>
      <c r="B257" s="14"/>
      <c r="C257" s="14"/>
      <c r="D257" s="14"/>
      <c r="E257" s="15"/>
      <c r="F257" s="15"/>
      <c r="G257" s="16"/>
      <c r="H257" s="17"/>
      <c r="I257" s="17"/>
      <c r="J257" s="17"/>
      <c r="K257" s="17"/>
      <c r="L257" s="16"/>
      <c r="M257" s="17"/>
      <c r="N257" s="16"/>
      <c r="O257" s="17"/>
      <c r="P257" s="15"/>
      <c r="Q257" s="17"/>
      <c r="R257" s="17"/>
      <c r="S257" s="17"/>
      <c r="T257" s="17"/>
      <c r="U257" s="18" t="str">
        <f aca="false">IF(A257="","",IF(N(G257)-N(L257)-N(N257)&lt;0,"Check shares",IF(AND(P257&lt;&gt;"",Q257&lt;&gt;""),"Closed","Open")))</f>
        <v/>
      </c>
      <c r="V257" s="19" t="str">
        <f aca="false">IF(OR(F257="",P257=""),"",NETWORKDAYS(F257,P257,Lists!$F$5:$F$40)-1)</f>
        <v/>
      </c>
      <c r="W257" s="18" t="str">
        <f aca="false">IF(V257="","",IF(V257=0,"Same day","Overnight"))</f>
        <v/>
      </c>
      <c r="X257" s="18" t="str">
        <f aca="false">IF(OR(E257="",F257=""),"",IF(AND(E257&gt;=F257,OR(P257="",E257&lt;=P257)),"Yes","No"))</f>
        <v/>
      </c>
      <c r="Y257" s="20" t="str">
        <f aca="false">IF(A257="","",N(G257)-N(L257)-N(N257))</f>
        <v/>
      </c>
      <c r="Z257" s="21" t="str">
        <f aca="false">IF(OR(G257="",H257="",I257=""),"",ABS(H257-I257)*G257)</f>
        <v/>
      </c>
      <c r="AA257" s="22" t="str">
        <f aca="false">IF(OR(J257="",N(Z257)=0),"",ABS(J257-H257)/ABS(H257-I257))</f>
        <v/>
      </c>
      <c r="AB257" s="23" t="str">
        <f aca="false">IF(U257&lt;&gt;"Closed","",(N(L257)*N(M257)+N(N257)*N(O257)+Y257*Q257)/G257)</f>
        <v/>
      </c>
      <c r="AC257" s="24" t="str">
        <f aca="false">IF(U257&lt;&gt;"Closed","",IF($B257="Short",-1,1)*((N(M257)-H257)*N(L257)+(N(O257)-H257)*N(N257)+(Q257-H257)*Y257)-N(R257))</f>
        <v/>
      </c>
      <c r="AD257" s="25" t="str">
        <f aca="false">IF(OR(AC257="",N(Z257)=0),"",AC257/Z257)</f>
        <v/>
      </c>
      <c r="AE257" s="25" t="str">
        <f aca="false">IF(OR(S257="",N(Z257)=0),"",IF($B257="Short",-1,1)*(S257-H257)*G257/Z257)</f>
        <v/>
      </c>
      <c r="AF257" s="25" t="str">
        <f aca="false">IF(OR(T257="",N(Z257)=0),"",IF($B257="Short",-1,1)*(T257-H257)*G257/Z257)</f>
        <v/>
      </c>
      <c r="AG257" s="21" t="str">
        <f aca="false">IF(U257&lt;&gt;"Open","",Y257*MAX(0,IF($B257="Short",-1,1)*(H257-IF(K257="",I257,K257))))</f>
        <v/>
      </c>
      <c r="AH257" s="26" t="str">
        <f aca="false">IF(U257&lt;&gt;"Closed","",DATE(YEAR(P257),MONTH(P257),1))</f>
        <v/>
      </c>
      <c r="AI257" s="19" t="str">
        <f aca="false">IF(U257&lt;&gt;"Closed","",COUNTIFS($U$7:$U$506,"Closed",$P$7:$P$506,"&lt;"&amp;P257)+COUNTIFS($U$7:U257,"Closed",$P$7:P257,P257))</f>
        <v/>
      </c>
    </row>
    <row r="258" customFormat="false" ht="15" hidden="false" customHeight="false" outlineLevel="0" collapsed="false">
      <c r="A258" s="13"/>
      <c r="B258" s="14"/>
      <c r="C258" s="14"/>
      <c r="D258" s="14"/>
      <c r="E258" s="15"/>
      <c r="F258" s="15"/>
      <c r="G258" s="16"/>
      <c r="H258" s="17"/>
      <c r="I258" s="17"/>
      <c r="J258" s="17"/>
      <c r="K258" s="17"/>
      <c r="L258" s="16"/>
      <c r="M258" s="17"/>
      <c r="N258" s="16"/>
      <c r="O258" s="17"/>
      <c r="P258" s="15"/>
      <c r="Q258" s="17"/>
      <c r="R258" s="17"/>
      <c r="S258" s="17"/>
      <c r="T258" s="17"/>
      <c r="U258" s="18" t="str">
        <f aca="false">IF(A258="","",IF(N(G258)-N(L258)-N(N258)&lt;0,"Check shares",IF(AND(P258&lt;&gt;"",Q258&lt;&gt;""),"Closed","Open")))</f>
        <v/>
      </c>
      <c r="V258" s="19" t="str">
        <f aca="false">IF(OR(F258="",P258=""),"",NETWORKDAYS(F258,P258,Lists!$F$5:$F$40)-1)</f>
        <v/>
      </c>
      <c r="W258" s="18" t="str">
        <f aca="false">IF(V258="","",IF(V258=0,"Same day","Overnight"))</f>
        <v/>
      </c>
      <c r="X258" s="18" t="str">
        <f aca="false">IF(OR(E258="",F258=""),"",IF(AND(E258&gt;=F258,OR(P258="",E258&lt;=P258)),"Yes","No"))</f>
        <v/>
      </c>
      <c r="Y258" s="20" t="str">
        <f aca="false">IF(A258="","",N(G258)-N(L258)-N(N258))</f>
        <v/>
      </c>
      <c r="Z258" s="21" t="str">
        <f aca="false">IF(OR(G258="",H258="",I258=""),"",ABS(H258-I258)*G258)</f>
        <v/>
      </c>
      <c r="AA258" s="22" t="str">
        <f aca="false">IF(OR(J258="",N(Z258)=0),"",ABS(J258-H258)/ABS(H258-I258))</f>
        <v/>
      </c>
      <c r="AB258" s="23" t="str">
        <f aca="false">IF(U258&lt;&gt;"Closed","",(N(L258)*N(M258)+N(N258)*N(O258)+Y258*Q258)/G258)</f>
        <v/>
      </c>
      <c r="AC258" s="24" t="str">
        <f aca="false">IF(U258&lt;&gt;"Closed","",IF($B258="Short",-1,1)*((N(M258)-H258)*N(L258)+(N(O258)-H258)*N(N258)+(Q258-H258)*Y258)-N(R258))</f>
        <v/>
      </c>
      <c r="AD258" s="25" t="str">
        <f aca="false">IF(OR(AC258="",N(Z258)=0),"",AC258/Z258)</f>
        <v/>
      </c>
      <c r="AE258" s="25" t="str">
        <f aca="false">IF(OR(S258="",N(Z258)=0),"",IF($B258="Short",-1,1)*(S258-H258)*G258/Z258)</f>
        <v/>
      </c>
      <c r="AF258" s="25" t="str">
        <f aca="false">IF(OR(T258="",N(Z258)=0),"",IF($B258="Short",-1,1)*(T258-H258)*G258/Z258)</f>
        <v/>
      </c>
      <c r="AG258" s="21" t="str">
        <f aca="false">IF(U258&lt;&gt;"Open","",Y258*MAX(0,IF($B258="Short",-1,1)*(H258-IF(K258="",I258,K258))))</f>
        <v/>
      </c>
      <c r="AH258" s="26" t="str">
        <f aca="false">IF(U258&lt;&gt;"Closed","",DATE(YEAR(P258),MONTH(P258),1))</f>
        <v/>
      </c>
      <c r="AI258" s="19" t="str">
        <f aca="false">IF(U258&lt;&gt;"Closed","",COUNTIFS($U$7:$U$506,"Closed",$P$7:$P$506,"&lt;"&amp;P258)+COUNTIFS($U$7:U258,"Closed",$P$7:P258,P258))</f>
        <v/>
      </c>
    </row>
    <row r="259" customFormat="false" ht="15" hidden="false" customHeight="false" outlineLevel="0" collapsed="false">
      <c r="A259" s="13"/>
      <c r="B259" s="14"/>
      <c r="C259" s="14"/>
      <c r="D259" s="14"/>
      <c r="E259" s="15"/>
      <c r="F259" s="15"/>
      <c r="G259" s="16"/>
      <c r="H259" s="17"/>
      <c r="I259" s="17"/>
      <c r="J259" s="17"/>
      <c r="K259" s="17"/>
      <c r="L259" s="16"/>
      <c r="M259" s="17"/>
      <c r="N259" s="16"/>
      <c r="O259" s="17"/>
      <c r="P259" s="15"/>
      <c r="Q259" s="17"/>
      <c r="R259" s="17"/>
      <c r="S259" s="17"/>
      <c r="T259" s="17"/>
      <c r="U259" s="18" t="str">
        <f aca="false">IF(A259="","",IF(N(G259)-N(L259)-N(N259)&lt;0,"Check shares",IF(AND(P259&lt;&gt;"",Q259&lt;&gt;""),"Closed","Open")))</f>
        <v/>
      </c>
      <c r="V259" s="19" t="str">
        <f aca="false">IF(OR(F259="",P259=""),"",NETWORKDAYS(F259,P259,Lists!$F$5:$F$40)-1)</f>
        <v/>
      </c>
      <c r="W259" s="18" t="str">
        <f aca="false">IF(V259="","",IF(V259=0,"Same day","Overnight"))</f>
        <v/>
      </c>
      <c r="X259" s="18" t="str">
        <f aca="false">IF(OR(E259="",F259=""),"",IF(AND(E259&gt;=F259,OR(P259="",E259&lt;=P259)),"Yes","No"))</f>
        <v/>
      </c>
      <c r="Y259" s="20" t="str">
        <f aca="false">IF(A259="","",N(G259)-N(L259)-N(N259))</f>
        <v/>
      </c>
      <c r="Z259" s="21" t="str">
        <f aca="false">IF(OR(G259="",H259="",I259=""),"",ABS(H259-I259)*G259)</f>
        <v/>
      </c>
      <c r="AA259" s="22" t="str">
        <f aca="false">IF(OR(J259="",N(Z259)=0),"",ABS(J259-H259)/ABS(H259-I259))</f>
        <v/>
      </c>
      <c r="AB259" s="23" t="str">
        <f aca="false">IF(U259&lt;&gt;"Closed","",(N(L259)*N(M259)+N(N259)*N(O259)+Y259*Q259)/G259)</f>
        <v/>
      </c>
      <c r="AC259" s="24" t="str">
        <f aca="false">IF(U259&lt;&gt;"Closed","",IF($B259="Short",-1,1)*((N(M259)-H259)*N(L259)+(N(O259)-H259)*N(N259)+(Q259-H259)*Y259)-N(R259))</f>
        <v/>
      </c>
      <c r="AD259" s="25" t="str">
        <f aca="false">IF(OR(AC259="",N(Z259)=0),"",AC259/Z259)</f>
        <v/>
      </c>
      <c r="AE259" s="25" t="str">
        <f aca="false">IF(OR(S259="",N(Z259)=0),"",IF($B259="Short",-1,1)*(S259-H259)*G259/Z259)</f>
        <v/>
      </c>
      <c r="AF259" s="25" t="str">
        <f aca="false">IF(OR(T259="",N(Z259)=0),"",IF($B259="Short",-1,1)*(T259-H259)*G259/Z259)</f>
        <v/>
      </c>
      <c r="AG259" s="21" t="str">
        <f aca="false">IF(U259&lt;&gt;"Open","",Y259*MAX(0,IF($B259="Short",-1,1)*(H259-IF(K259="",I259,K259))))</f>
        <v/>
      </c>
      <c r="AH259" s="26" t="str">
        <f aca="false">IF(U259&lt;&gt;"Closed","",DATE(YEAR(P259),MONTH(P259),1))</f>
        <v/>
      </c>
      <c r="AI259" s="19" t="str">
        <f aca="false">IF(U259&lt;&gt;"Closed","",COUNTIFS($U$7:$U$506,"Closed",$P$7:$P$506,"&lt;"&amp;P259)+COUNTIFS($U$7:U259,"Closed",$P$7:P259,P259))</f>
        <v/>
      </c>
    </row>
    <row r="260" customFormat="false" ht="15" hidden="false" customHeight="false" outlineLevel="0" collapsed="false">
      <c r="A260" s="13"/>
      <c r="B260" s="14"/>
      <c r="C260" s="14"/>
      <c r="D260" s="14"/>
      <c r="E260" s="15"/>
      <c r="F260" s="15"/>
      <c r="G260" s="16"/>
      <c r="H260" s="17"/>
      <c r="I260" s="17"/>
      <c r="J260" s="17"/>
      <c r="K260" s="17"/>
      <c r="L260" s="16"/>
      <c r="M260" s="17"/>
      <c r="N260" s="16"/>
      <c r="O260" s="17"/>
      <c r="P260" s="15"/>
      <c r="Q260" s="17"/>
      <c r="R260" s="17"/>
      <c r="S260" s="17"/>
      <c r="T260" s="17"/>
      <c r="U260" s="18" t="str">
        <f aca="false">IF(A260="","",IF(N(G260)-N(L260)-N(N260)&lt;0,"Check shares",IF(AND(P260&lt;&gt;"",Q260&lt;&gt;""),"Closed","Open")))</f>
        <v/>
      </c>
      <c r="V260" s="19" t="str">
        <f aca="false">IF(OR(F260="",P260=""),"",NETWORKDAYS(F260,P260,Lists!$F$5:$F$40)-1)</f>
        <v/>
      </c>
      <c r="W260" s="18" t="str">
        <f aca="false">IF(V260="","",IF(V260=0,"Same day","Overnight"))</f>
        <v/>
      </c>
      <c r="X260" s="18" t="str">
        <f aca="false">IF(OR(E260="",F260=""),"",IF(AND(E260&gt;=F260,OR(P260="",E260&lt;=P260)),"Yes","No"))</f>
        <v/>
      </c>
      <c r="Y260" s="20" t="str">
        <f aca="false">IF(A260="","",N(G260)-N(L260)-N(N260))</f>
        <v/>
      </c>
      <c r="Z260" s="21" t="str">
        <f aca="false">IF(OR(G260="",H260="",I260=""),"",ABS(H260-I260)*G260)</f>
        <v/>
      </c>
      <c r="AA260" s="22" t="str">
        <f aca="false">IF(OR(J260="",N(Z260)=0),"",ABS(J260-H260)/ABS(H260-I260))</f>
        <v/>
      </c>
      <c r="AB260" s="23" t="str">
        <f aca="false">IF(U260&lt;&gt;"Closed","",(N(L260)*N(M260)+N(N260)*N(O260)+Y260*Q260)/G260)</f>
        <v/>
      </c>
      <c r="AC260" s="24" t="str">
        <f aca="false">IF(U260&lt;&gt;"Closed","",IF($B260="Short",-1,1)*((N(M260)-H260)*N(L260)+(N(O260)-H260)*N(N260)+(Q260-H260)*Y260)-N(R260))</f>
        <v/>
      </c>
      <c r="AD260" s="25" t="str">
        <f aca="false">IF(OR(AC260="",N(Z260)=0),"",AC260/Z260)</f>
        <v/>
      </c>
      <c r="AE260" s="25" t="str">
        <f aca="false">IF(OR(S260="",N(Z260)=0),"",IF($B260="Short",-1,1)*(S260-H260)*G260/Z260)</f>
        <v/>
      </c>
      <c r="AF260" s="25" t="str">
        <f aca="false">IF(OR(T260="",N(Z260)=0),"",IF($B260="Short",-1,1)*(T260-H260)*G260/Z260)</f>
        <v/>
      </c>
      <c r="AG260" s="21" t="str">
        <f aca="false">IF(U260&lt;&gt;"Open","",Y260*MAX(0,IF($B260="Short",-1,1)*(H260-IF(K260="",I260,K260))))</f>
        <v/>
      </c>
      <c r="AH260" s="26" t="str">
        <f aca="false">IF(U260&lt;&gt;"Closed","",DATE(YEAR(P260),MONTH(P260),1))</f>
        <v/>
      </c>
      <c r="AI260" s="19" t="str">
        <f aca="false">IF(U260&lt;&gt;"Closed","",COUNTIFS($U$7:$U$506,"Closed",$P$7:$P$506,"&lt;"&amp;P260)+COUNTIFS($U$7:U260,"Closed",$P$7:P260,P260))</f>
        <v/>
      </c>
    </row>
    <row r="261" customFormat="false" ht="15" hidden="false" customHeight="false" outlineLevel="0" collapsed="false">
      <c r="A261" s="13"/>
      <c r="B261" s="14"/>
      <c r="C261" s="14"/>
      <c r="D261" s="14"/>
      <c r="E261" s="15"/>
      <c r="F261" s="15"/>
      <c r="G261" s="16"/>
      <c r="H261" s="17"/>
      <c r="I261" s="17"/>
      <c r="J261" s="17"/>
      <c r="K261" s="17"/>
      <c r="L261" s="16"/>
      <c r="M261" s="17"/>
      <c r="N261" s="16"/>
      <c r="O261" s="17"/>
      <c r="P261" s="15"/>
      <c r="Q261" s="17"/>
      <c r="R261" s="17"/>
      <c r="S261" s="17"/>
      <c r="T261" s="17"/>
      <c r="U261" s="18" t="str">
        <f aca="false">IF(A261="","",IF(N(G261)-N(L261)-N(N261)&lt;0,"Check shares",IF(AND(P261&lt;&gt;"",Q261&lt;&gt;""),"Closed","Open")))</f>
        <v/>
      </c>
      <c r="V261" s="19" t="str">
        <f aca="false">IF(OR(F261="",P261=""),"",NETWORKDAYS(F261,P261,Lists!$F$5:$F$40)-1)</f>
        <v/>
      </c>
      <c r="W261" s="18" t="str">
        <f aca="false">IF(V261="","",IF(V261=0,"Same day","Overnight"))</f>
        <v/>
      </c>
      <c r="X261" s="18" t="str">
        <f aca="false">IF(OR(E261="",F261=""),"",IF(AND(E261&gt;=F261,OR(P261="",E261&lt;=P261)),"Yes","No"))</f>
        <v/>
      </c>
      <c r="Y261" s="20" t="str">
        <f aca="false">IF(A261="","",N(G261)-N(L261)-N(N261))</f>
        <v/>
      </c>
      <c r="Z261" s="21" t="str">
        <f aca="false">IF(OR(G261="",H261="",I261=""),"",ABS(H261-I261)*G261)</f>
        <v/>
      </c>
      <c r="AA261" s="22" t="str">
        <f aca="false">IF(OR(J261="",N(Z261)=0),"",ABS(J261-H261)/ABS(H261-I261))</f>
        <v/>
      </c>
      <c r="AB261" s="23" t="str">
        <f aca="false">IF(U261&lt;&gt;"Closed","",(N(L261)*N(M261)+N(N261)*N(O261)+Y261*Q261)/G261)</f>
        <v/>
      </c>
      <c r="AC261" s="24" t="str">
        <f aca="false">IF(U261&lt;&gt;"Closed","",IF($B261="Short",-1,1)*((N(M261)-H261)*N(L261)+(N(O261)-H261)*N(N261)+(Q261-H261)*Y261)-N(R261))</f>
        <v/>
      </c>
      <c r="AD261" s="25" t="str">
        <f aca="false">IF(OR(AC261="",N(Z261)=0),"",AC261/Z261)</f>
        <v/>
      </c>
      <c r="AE261" s="25" t="str">
        <f aca="false">IF(OR(S261="",N(Z261)=0),"",IF($B261="Short",-1,1)*(S261-H261)*G261/Z261)</f>
        <v/>
      </c>
      <c r="AF261" s="25" t="str">
        <f aca="false">IF(OR(T261="",N(Z261)=0),"",IF($B261="Short",-1,1)*(T261-H261)*G261/Z261)</f>
        <v/>
      </c>
      <c r="AG261" s="21" t="str">
        <f aca="false">IF(U261&lt;&gt;"Open","",Y261*MAX(0,IF($B261="Short",-1,1)*(H261-IF(K261="",I261,K261))))</f>
        <v/>
      </c>
      <c r="AH261" s="26" t="str">
        <f aca="false">IF(U261&lt;&gt;"Closed","",DATE(YEAR(P261),MONTH(P261),1))</f>
        <v/>
      </c>
      <c r="AI261" s="19" t="str">
        <f aca="false">IF(U261&lt;&gt;"Closed","",COUNTIFS($U$7:$U$506,"Closed",$P$7:$P$506,"&lt;"&amp;P261)+COUNTIFS($U$7:U261,"Closed",$P$7:P261,P261))</f>
        <v/>
      </c>
    </row>
    <row r="262" customFormat="false" ht="15" hidden="false" customHeight="false" outlineLevel="0" collapsed="false">
      <c r="A262" s="13"/>
      <c r="B262" s="14"/>
      <c r="C262" s="14"/>
      <c r="D262" s="14"/>
      <c r="E262" s="15"/>
      <c r="F262" s="15"/>
      <c r="G262" s="16"/>
      <c r="H262" s="17"/>
      <c r="I262" s="17"/>
      <c r="J262" s="17"/>
      <c r="K262" s="17"/>
      <c r="L262" s="16"/>
      <c r="M262" s="17"/>
      <c r="N262" s="16"/>
      <c r="O262" s="17"/>
      <c r="P262" s="15"/>
      <c r="Q262" s="17"/>
      <c r="R262" s="17"/>
      <c r="S262" s="17"/>
      <c r="T262" s="17"/>
      <c r="U262" s="18" t="str">
        <f aca="false">IF(A262="","",IF(N(G262)-N(L262)-N(N262)&lt;0,"Check shares",IF(AND(P262&lt;&gt;"",Q262&lt;&gt;""),"Closed","Open")))</f>
        <v/>
      </c>
      <c r="V262" s="19" t="str">
        <f aca="false">IF(OR(F262="",P262=""),"",NETWORKDAYS(F262,P262,Lists!$F$5:$F$40)-1)</f>
        <v/>
      </c>
      <c r="W262" s="18" t="str">
        <f aca="false">IF(V262="","",IF(V262=0,"Same day","Overnight"))</f>
        <v/>
      </c>
      <c r="X262" s="18" t="str">
        <f aca="false">IF(OR(E262="",F262=""),"",IF(AND(E262&gt;=F262,OR(P262="",E262&lt;=P262)),"Yes","No"))</f>
        <v/>
      </c>
      <c r="Y262" s="20" t="str">
        <f aca="false">IF(A262="","",N(G262)-N(L262)-N(N262))</f>
        <v/>
      </c>
      <c r="Z262" s="21" t="str">
        <f aca="false">IF(OR(G262="",H262="",I262=""),"",ABS(H262-I262)*G262)</f>
        <v/>
      </c>
      <c r="AA262" s="22" t="str">
        <f aca="false">IF(OR(J262="",N(Z262)=0),"",ABS(J262-H262)/ABS(H262-I262))</f>
        <v/>
      </c>
      <c r="AB262" s="23" t="str">
        <f aca="false">IF(U262&lt;&gt;"Closed","",(N(L262)*N(M262)+N(N262)*N(O262)+Y262*Q262)/G262)</f>
        <v/>
      </c>
      <c r="AC262" s="24" t="str">
        <f aca="false">IF(U262&lt;&gt;"Closed","",IF($B262="Short",-1,1)*((N(M262)-H262)*N(L262)+(N(O262)-H262)*N(N262)+(Q262-H262)*Y262)-N(R262))</f>
        <v/>
      </c>
      <c r="AD262" s="25" t="str">
        <f aca="false">IF(OR(AC262="",N(Z262)=0),"",AC262/Z262)</f>
        <v/>
      </c>
      <c r="AE262" s="25" t="str">
        <f aca="false">IF(OR(S262="",N(Z262)=0),"",IF($B262="Short",-1,1)*(S262-H262)*G262/Z262)</f>
        <v/>
      </c>
      <c r="AF262" s="25" t="str">
        <f aca="false">IF(OR(T262="",N(Z262)=0),"",IF($B262="Short",-1,1)*(T262-H262)*G262/Z262)</f>
        <v/>
      </c>
      <c r="AG262" s="21" t="str">
        <f aca="false">IF(U262&lt;&gt;"Open","",Y262*MAX(0,IF($B262="Short",-1,1)*(H262-IF(K262="",I262,K262))))</f>
        <v/>
      </c>
      <c r="AH262" s="26" t="str">
        <f aca="false">IF(U262&lt;&gt;"Closed","",DATE(YEAR(P262),MONTH(P262),1))</f>
        <v/>
      </c>
      <c r="AI262" s="19" t="str">
        <f aca="false">IF(U262&lt;&gt;"Closed","",COUNTIFS($U$7:$U$506,"Closed",$P$7:$P$506,"&lt;"&amp;P262)+COUNTIFS($U$7:U262,"Closed",$P$7:P262,P262))</f>
        <v/>
      </c>
    </row>
    <row r="263" customFormat="false" ht="15" hidden="false" customHeight="false" outlineLevel="0" collapsed="false">
      <c r="A263" s="13"/>
      <c r="B263" s="14"/>
      <c r="C263" s="14"/>
      <c r="D263" s="14"/>
      <c r="E263" s="15"/>
      <c r="F263" s="15"/>
      <c r="G263" s="16"/>
      <c r="H263" s="17"/>
      <c r="I263" s="17"/>
      <c r="J263" s="17"/>
      <c r="K263" s="17"/>
      <c r="L263" s="16"/>
      <c r="M263" s="17"/>
      <c r="N263" s="16"/>
      <c r="O263" s="17"/>
      <c r="P263" s="15"/>
      <c r="Q263" s="17"/>
      <c r="R263" s="17"/>
      <c r="S263" s="17"/>
      <c r="T263" s="17"/>
      <c r="U263" s="18" t="str">
        <f aca="false">IF(A263="","",IF(N(G263)-N(L263)-N(N263)&lt;0,"Check shares",IF(AND(P263&lt;&gt;"",Q263&lt;&gt;""),"Closed","Open")))</f>
        <v/>
      </c>
      <c r="V263" s="19" t="str">
        <f aca="false">IF(OR(F263="",P263=""),"",NETWORKDAYS(F263,P263,Lists!$F$5:$F$40)-1)</f>
        <v/>
      </c>
      <c r="W263" s="18" t="str">
        <f aca="false">IF(V263="","",IF(V263=0,"Same day","Overnight"))</f>
        <v/>
      </c>
      <c r="X263" s="18" t="str">
        <f aca="false">IF(OR(E263="",F263=""),"",IF(AND(E263&gt;=F263,OR(P263="",E263&lt;=P263)),"Yes","No"))</f>
        <v/>
      </c>
      <c r="Y263" s="20" t="str">
        <f aca="false">IF(A263="","",N(G263)-N(L263)-N(N263))</f>
        <v/>
      </c>
      <c r="Z263" s="21" t="str">
        <f aca="false">IF(OR(G263="",H263="",I263=""),"",ABS(H263-I263)*G263)</f>
        <v/>
      </c>
      <c r="AA263" s="22" t="str">
        <f aca="false">IF(OR(J263="",N(Z263)=0),"",ABS(J263-H263)/ABS(H263-I263))</f>
        <v/>
      </c>
      <c r="AB263" s="23" t="str">
        <f aca="false">IF(U263&lt;&gt;"Closed","",(N(L263)*N(M263)+N(N263)*N(O263)+Y263*Q263)/G263)</f>
        <v/>
      </c>
      <c r="AC263" s="24" t="str">
        <f aca="false">IF(U263&lt;&gt;"Closed","",IF($B263="Short",-1,1)*((N(M263)-H263)*N(L263)+(N(O263)-H263)*N(N263)+(Q263-H263)*Y263)-N(R263))</f>
        <v/>
      </c>
      <c r="AD263" s="25" t="str">
        <f aca="false">IF(OR(AC263="",N(Z263)=0),"",AC263/Z263)</f>
        <v/>
      </c>
      <c r="AE263" s="25" t="str">
        <f aca="false">IF(OR(S263="",N(Z263)=0),"",IF($B263="Short",-1,1)*(S263-H263)*G263/Z263)</f>
        <v/>
      </c>
      <c r="AF263" s="25" t="str">
        <f aca="false">IF(OR(T263="",N(Z263)=0),"",IF($B263="Short",-1,1)*(T263-H263)*G263/Z263)</f>
        <v/>
      </c>
      <c r="AG263" s="21" t="str">
        <f aca="false">IF(U263&lt;&gt;"Open","",Y263*MAX(0,IF($B263="Short",-1,1)*(H263-IF(K263="",I263,K263))))</f>
        <v/>
      </c>
      <c r="AH263" s="26" t="str">
        <f aca="false">IF(U263&lt;&gt;"Closed","",DATE(YEAR(P263),MONTH(P263),1))</f>
        <v/>
      </c>
      <c r="AI263" s="19" t="str">
        <f aca="false">IF(U263&lt;&gt;"Closed","",COUNTIFS($U$7:$U$506,"Closed",$P$7:$P$506,"&lt;"&amp;P263)+COUNTIFS($U$7:U263,"Closed",$P$7:P263,P263))</f>
        <v/>
      </c>
    </row>
    <row r="264" customFormat="false" ht="15" hidden="false" customHeight="false" outlineLevel="0" collapsed="false">
      <c r="A264" s="13"/>
      <c r="B264" s="14"/>
      <c r="C264" s="14"/>
      <c r="D264" s="14"/>
      <c r="E264" s="15"/>
      <c r="F264" s="15"/>
      <c r="G264" s="16"/>
      <c r="H264" s="17"/>
      <c r="I264" s="17"/>
      <c r="J264" s="17"/>
      <c r="K264" s="17"/>
      <c r="L264" s="16"/>
      <c r="M264" s="17"/>
      <c r="N264" s="16"/>
      <c r="O264" s="17"/>
      <c r="P264" s="15"/>
      <c r="Q264" s="17"/>
      <c r="R264" s="17"/>
      <c r="S264" s="17"/>
      <c r="T264" s="17"/>
      <c r="U264" s="18" t="str">
        <f aca="false">IF(A264="","",IF(N(G264)-N(L264)-N(N264)&lt;0,"Check shares",IF(AND(P264&lt;&gt;"",Q264&lt;&gt;""),"Closed","Open")))</f>
        <v/>
      </c>
      <c r="V264" s="19" t="str">
        <f aca="false">IF(OR(F264="",P264=""),"",NETWORKDAYS(F264,P264,Lists!$F$5:$F$40)-1)</f>
        <v/>
      </c>
      <c r="W264" s="18" t="str">
        <f aca="false">IF(V264="","",IF(V264=0,"Same day","Overnight"))</f>
        <v/>
      </c>
      <c r="X264" s="18" t="str">
        <f aca="false">IF(OR(E264="",F264=""),"",IF(AND(E264&gt;=F264,OR(P264="",E264&lt;=P264)),"Yes","No"))</f>
        <v/>
      </c>
      <c r="Y264" s="20" t="str">
        <f aca="false">IF(A264="","",N(G264)-N(L264)-N(N264))</f>
        <v/>
      </c>
      <c r="Z264" s="21" t="str">
        <f aca="false">IF(OR(G264="",H264="",I264=""),"",ABS(H264-I264)*G264)</f>
        <v/>
      </c>
      <c r="AA264" s="22" t="str">
        <f aca="false">IF(OR(J264="",N(Z264)=0),"",ABS(J264-H264)/ABS(H264-I264))</f>
        <v/>
      </c>
      <c r="AB264" s="23" t="str">
        <f aca="false">IF(U264&lt;&gt;"Closed","",(N(L264)*N(M264)+N(N264)*N(O264)+Y264*Q264)/G264)</f>
        <v/>
      </c>
      <c r="AC264" s="24" t="str">
        <f aca="false">IF(U264&lt;&gt;"Closed","",IF($B264="Short",-1,1)*((N(M264)-H264)*N(L264)+(N(O264)-H264)*N(N264)+(Q264-H264)*Y264)-N(R264))</f>
        <v/>
      </c>
      <c r="AD264" s="25" t="str">
        <f aca="false">IF(OR(AC264="",N(Z264)=0),"",AC264/Z264)</f>
        <v/>
      </c>
      <c r="AE264" s="25" t="str">
        <f aca="false">IF(OR(S264="",N(Z264)=0),"",IF($B264="Short",-1,1)*(S264-H264)*G264/Z264)</f>
        <v/>
      </c>
      <c r="AF264" s="25" t="str">
        <f aca="false">IF(OR(T264="",N(Z264)=0),"",IF($B264="Short",-1,1)*(T264-H264)*G264/Z264)</f>
        <v/>
      </c>
      <c r="AG264" s="21" t="str">
        <f aca="false">IF(U264&lt;&gt;"Open","",Y264*MAX(0,IF($B264="Short",-1,1)*(H264-IF(K264="",I264,K264))))</f>
        <v/>
      </c>
      <c r="AH264" s="26" t="str">
        <f aca="false">IF(U264&lt;&gt;"Closed","",DATE(YEAR(P264),MONTH(P264),1))</f>
        <v/>
      </c>
      <c r="AI264" s="19" t="str">
        <f aca="false">IF(U264&lt;&gt;"Closed","",COUNTIFS($U$7:$U$506,"Closed",$P$7:$P$506,"&lt;"&amp;P264)+COUNTIFS($U$7:U264,"Closed",$P$7:P264,P264))</f>
        <v/>
      </c>
    </row>
    <row r="265" customFormat="false" ht="15" hidden="false" customHeight="false" outlineLevel="0" collapsed="false">
      <c r="A265" s="13"/>
      <c r="B265" s="14"/>
      <c r="C265" s="14"/>
      <c r="D265" s="14"/>
      <c r="E265" s="15"/>
      <c r="F265" s="15"/>
      <c r="G265" s="16"/>
      <c r="H265" s="17"/>
      <c r="I265" s="17"/>
      <c r="J265" s="17"/>
      <c r="K265" s="17"/>
      <c r="L265" s="16"/>
      <c r="M265" s="17"/>
      <c r="N265" s="16"/>
      <c r="O265" s="17"/>
      <c r="P265" s="15"/>
      <c r="Q265" s="17"/>
      <c r="R265" s="17"/>
      <c r="S265" s="17"/>
      <c r="T265" s="17"/>
      <c r="U265" s="18" t="str">
        <f aca="false">IF(A265="","",IF(N(G265)-N(L265)-N(N265)&lt;0,"Check shares",IF(AND(P265&lt;&gt;"",Q265&lt;&gt;""),"Closed","Open")))</f>
        <v/>
      </c>
      <c r="V265" s="19" t="str">
        <f aca="false">IF(OR(F265="",P265=""),"",NETWORKDAYS(F265,P265,Lists!$F$5:$F$40)-1)</f>
        <v/>
      </c>
      <c r="W265" s="18" t="str">
        <f aca="false">IF(V265="","",IF(V265=0,"Same day","Overnight"))</f>
        <v/>
      </c>
      <c r="X265" s="18" t="str">
        <f aca="false">IF(OR(E265="",F265=""),"",IF(AND(E265&gt;=F265,OR(P265="",E265&lt;=P265)),"Yes","No"))</f>
        <v/>
      </c>
      <c r="Y265" s="20" t="str">
        <f aca="false">IF(A265="","",N(G265)-N(L265)-N(N265))</f>
        <v/>
      </c>
      <c r="Z265" s="21" t="str">
        <f aca="false">IF(OR(G265="",H265="",I265=""),"",ABS(H265-I265)*G265)</f>
        <v/>
      </c>
      <c r="AA265" s="22" t="str">
        <f aca="false">IF(OR(J265="",N(Z265)=0),"",ABS(J265-H265)/ABS(H265-I265))</f>
        <v/>
      </c>
      <c r="AB265" s="23" t="str">
        <f aca="false">IF(U265&lt;&gt;"Closed","",(N(L265)*N(M265)+N(N265)*N(O265)+Y265*Q265)/G265)</f>
        <v/>
      </c>
      <c r="AC265" s="24" t="str">
        <f aca="false">IF(U265&lt;&gt;"Closed","",IF($B265="Short",-1,1)*((N(M265)-H265)*N(L265)+(N(O265)-H265)*N(N265)+(Q265-H265)*Y265)-N(R265))</f>
        <v/>
      </c>
      <c r="AD265" s="25" t="str">
        <f aca="false">IF(OR(AC265="",N(Z265)=0),"",AC265/Z265)</f>
        <v/>
      </c>
      <c r="AE265" s="25" t="str">
        <f aca="false">IF(OR(S265="",N(Z265)=0),"",IF($B265="Short",-1,1)*(S265-H265)*G265/Z265)</f>
        <v/>
      </c>
      <c r="AF265" s="25" t="str">
        <f aca="false">IF(OR(T265="",N(Z265)=0),"",IF($B265="Short",-1,1)*(T265-H265)*G265/Z265)</f>
        <v/>
      </c>
      <c r="AG265" s="21" t="str">
        <f aca="false">IF(U265&lt;&gt;"Open","",Y265*MAX(0,IF($B265="Short",-1,1)*(H265-IF(K265="",I265,K265))))</f>
        <v/>
      </c>
      <c r="AH265" s="26" t="str">
        <f aca="false">IF(U265&lt;&gt;"Closed","",DATE(YEAR(P265),MONTH(P265),1))</f>
        <v/>
      </c>
      <c r="AI265" s="19" t="str">
        <f aca="false">IF(U265&lt;&gt;"Closed","",COUNTIFS($U$7:$U$506,"Closed",$P$7:$P$506,"&lt;"&amp;P265)+COUNTIFS($U$7:U265,"Closed",$P$7:P265,P265))</f>
        <v/>
      </c>
    </row>
    <row r="266" customFormat="false" ht="15" hidden="false" customHeight="false" outlineLevel="0" collapsed="false">
      <c r="A266" s="13"/>
      <c r="B266" s="14"/>
      <c r="C266" s="14"/>
      <c r="D266" s="14"/>
      <c r="E266" s="15"/>
      <c r="F266" s="15"/>
      <c r="G266" s="16"/>
      <c r="H266" s="17"/>
      <c r="I266" s="17"/>
      <c r="J266" s="17"/>
      <c r="K266" s="17"/>
      <c r="L266" s="16"/>
      <c r="M266" s="17"/>
      <c r="N266" s="16"/>
      <c r="O266" s="17"/>
      <c r="P266" s="15"/>
      <c r="Q266" s="17"/>
      <c r="R266" s="17"/>
      <c r="S266" s="17"/>
      <c r="T266" s="17"/>
      <c r="U266" s="18" t="str">
        <f aca="false">IF(A266="","",IF(N(G266)-N(L266)-N(N266)&lt;0,"Check shares",IF(AND(P266&lt;&gt;"",Q266&lt;&gt;""),"Closed","Open")))</f>
        <v/>
      </c>
      <c r="V266" s="19" t="str">
        <f aca="false">IF(OR(F266="",P266=""),"",NETWORKDAYS(F266,P266,Lists!$F$5:$F$40)-1)</f>
        <v/>
      </c>
      <c r="W266" s="18" t="str">
        <f aca="false">IF(V266="","",IF(V266=0,"Same day","Overnight"))</f>
        <v/>
      </c>
      <c r="X266" s="18" t="str">
        <f aca="false">IF(OR(E266="",F266=""),"",IF(AND(E266&gt;=F266,OR(P266="",E266&lt;=P266)),"Yes","No"))</f>
        <v/>
      </c>
      <c r="Y266" s="20" t="str">
        <f aca="false">IF(A266="","",N(G266)-N(L266)-N(N266))</f>
        <v/>
      </c>
      <c r="Z266" s="21" t="str">
        <f aca="false">IF(OR(G266="",H266="",I266=""),"",ABS(H266-I266)*G266)</f>
        <v/>
      </c>
      <c r="AA266" s="22" t="str">
        <f aca="false">IF(OR(J266="",N(Z266)=0),"",ABS(J266-H266)/ABS(H266-I266))</f>
        <v/>
      </c>
      <c r="AB266" s="23" t="str">
        <f aca="false">IF(U266&lt;&gt;"Closed","",(N(L266)*N(M266)+N(N266)*N(O266)+Y266*Q266)/G266)</f>
        <v/>
      </c>
      <c r="AC266" s="24" t="str">
        <f aca="false">IF(U266&lt;&gt;"Closed","",IF($B266="Short",-1,1)*((N(M266)-H266)*N(L266)+(N(O266)-H266)*N(N266)+(Q266-H266)*Y266)-N(R266))</f>
        <v/>
      </c>
      <c r="AD266" s="25" t="str">
        <f aca="false">IF(OR(AC266="",N(Z266)=0),"",AC266/Z266)</f>
        <v/>
      </c>
      <c r="AE266" s="25" t="str">
        <f aca="false">IF(OR(S266="",N(Z266)=0),"",IF($B266="Short",-1,1)*(S266-H266)*G266/Z266)</f>
        <v/>
      </c>
      <c r="AF266" s="25" t="str">
        <f aca="false">IF(OR(T266="",N(Z266)=0),"",IF($B266="Short",-1,1)*(T266-H266)*G266/Z266)</f>
        <v/>
      </c>
      <c r="AG266" s="21" t="str">
        <f aca="false">IF(U266&lt;&gt;"Open","",Y266*MAX(0,IF($B266="Short",-1,1)*(H266-IF(K266="",I266,K266))))</f>
        <v/>
      </c>
      <c r="AH266" s="26" t="str">
        <f aca="false">IF(U266&lt;&gt;"Closed","",DATE(YEAR(P266),MONTH(P266),1))</f>
        <v/>
      </c>
      <c r="AI266" s="19" t="str">
        <f aca="false">IF(U266&lt;&gt;"Closed","",COUNTIFS($U$7:$U$506,"Closed",$P$7:$P$506,"&lt;"&amp;P266)+COUNTIFS($U$7:U266,"Closed",$P$7:P266,P266))</f>
        <v/>
      </c>
    </row>
    <row r="267" customFormat="false" ht="15" hidden="false" customHeight="false" outlineLevel="0" collapsed="false">
      <c r="A267" s="13"/>
      <c r="B267" s="14"/>
      <c r="C267" s="14"/>
      <c r="D267" s="14"/>
      <c r="E267" s="15"/>
      <c r="F267" s="15"/>
      <c r="G267" s="16"/>
      <c r="H267" s="17"/>
      <c r="I267" s="17"/>
      <c r="J267" s="17"/>
      <c r="K267" s="17"/>
      <c r="L267" s="16"/>
      <c r="M267" s="17"/>
      <c r="N267" s="16"/>
      <c r="O267" s="17"/>
      <c r="P267" s="15"/>
      <c r="Q267" s="17"/>
      <c r="R267" s="17"/>
      <c r="S267" s="17"/>
      <c r="T267" s="17"/>
      <c r="U267" s="18" t="str">
        <f aca="false">IF(A267="","",IF(N(G267)-N(L267)-N(N267)&lt;0,"Check shares",IF(AND(P267&lt;&gt;"",Q267&lt;&gt;""),"Closed","Open")))</f>
        <v/>
      </c>
      <c r="V267" s="19" t="str">
        <f aca="false">IF(OR(F267="",P267=""),"",NETWORKDAYS(F267,P267,Lists!$F$5:$F$40)-1)</f>
        <v/>
      </c>
      <c r="W267" s="18" t="str">
        <f aca="false">IF(V267="","",IF(V267=0,"Same day","Overnight"))</f>
        <v/>
      </c>
      <c r="X267" s="18" t="str">
        <f aca="false">IF(OR(E267="",F267=""),"",IF(AND(E267&gt;=F267,OR(P267="",E267&lt;=P267)),"Yes","No"))</f>
        <v/>
      </c>
      <c r="Y267" s="20" t="str">
        <f aca="false">IF(A267="","",N(G267)-N(L267)-N(N267))</f>
        <v/>
      </c>
      <c r="Z267" s="21" t="str">
        <f aca="false">IF(OR(G267="",H267="",I267=""),"",ABS(H267-I267)*G267)</f>
        <v/>
      </c>
      <c r="AA267" s="22" t="str">
        <f aca="false">IF(OR(J267="",N(Z267)=0),"",ABS(J267-H267)/ABS(H267-I267))</f>
        <v/>
      </c>
      <c r="AB267" s="23" t="str">
        <f aca="false">IF(U267&lt;&gt;"Closed","",(N(L267)*N(M267)+N(N267)*N(O267)+Y267*Q267)/G267)</f>
        <v/>
      </c>
      <c r="AC267" s="24" t="str">
        <f aca="false">IF(U267&lt;&gt;"Closed","",IF($B267="Short",-1,1)*((N(M267)-H267)*N(L267)+(N(O267)-H267)*N(N267)+(Q267-H267)*Y267)-N(R267))</f>
        <v/>
      </c>
      <c r="AD267" s="25" t="str">
        <f aca="false">IF(OR(AC267="",N(Z267)=0),"",AC267/Z267)</f>
        <v/>
      </c>
      <c r="AE267" s="25" t="str">
        <f aca="false">IF(OR(S267="",N(Z267)=0),"",IF($B267="Short",-1,1)*(S267-H267)*G267/Z267)</f>
        <v/>
      </c>
      <c r="AF267" s="25" t="str">
        <f aca="false">IF(OR(T267="",N(Z267)=0),"",IF($B267="Short",-1,1)*(T267-H267)*G267/Z267)</f>
        <v/>
      </c>
      <c r="AG267" s="21" t="str">
        <f aca="false">IF(U267&lt;&gt;"Open","",Y267*MAX(0,IF($B267="Short",-1,1)*(H267-IF(K267="",I267,K267))))</f>
        <v/>
      </c>
      <c r="AH267" s="26" t="str">
        <f aca="false">IF(U267&lt;&gt;"Closed","",DATE(YEAR(P267),MONTH(P267),1))</f>
        <v/>
      </c>
      <c r="AI267" s="19" t="str">
        <f aca="false">IF(U267&lt;&gt;"Closed","",COUNTIFS($U$7:$U$506,"Closed",$P$7:$P$506,"&lt;"&amp;P267)+COUNTIFS($U$7:U267,"Closed",$P$7:P267,P267))</f>
        <v/>
      </c>
    </row>
    <row r="268" customFormat="false" ht="15" hidden="false" customHeight="false" outlineLevel="0" collapsed="false">
      <c r="A268" s="13"/>
      <c r="B268" s="14"/>
      <c r="C268" s="14"/>
      <c r="D268" s="14"/>
      <c r="E268" s="15"/>
      <c r="F268" s="15"/>
      <c r="G268" s="16"/>
      <c r="H268" s="17"/>
      <c r="I268" s="17"/>
      <c r="J268" s="17"/>
      <c r="K268" s="17"/>
      <c r="L268" s="16"/>
      <c r="M268" s="17"/>
      <c r="N268" s="16"/>
      <c r="O268" s="17"/>
      <c r="P268" s="15"/>
      <c r="Q268" s="17"/>
      <c r="R268" s="17"/>
      <c r="S268" s="17"/>
      <c r="T268" s="17"/>
      <c r="U268" s="18" t="str">
        <f aca="false">IF(A268="","",IF(N(G268)-N(L268)-N(N268)&lt;0,"Check shares",IF(AND(P268&lt;&gt;"",Q268&lt;&gt;""),"Closed","Open")))</f>
        <v/>
      </c>
      <c r="V268" s="19" t="str">
        <f aca="false">IF(OR(F268="",P268=""),"",NETWORKDAYS(F268,P268,Lists!$F$5:$F$40)-1)</f>
        <v/>
      </c>
      <c r="W268" s="18" t="str">
        <f aca="false">IF(V268="","",IF(V268=0,"Same day","Overnight"))</f>
        <v/>
      </c>
      <c r="X268" s="18" t="str">
        <f aca="false">IF(OR(E268="",F268=""),"",IF(AND(E268&gt;=F268,OR(P268="",E268&lt;=P268)),"Yes","No"))</f>
        <v/>
      </c>
      <c r="Y268" s="20" t="str">
        <f aca="false">IF(A268="","",N(G268)-N(L268)-N(N268))</f>
        <v/>
      </c>
      <c r="Z268" s="21" t="str">
        <f aca="false">IF(OR(G268="",H268="",I268=""),"",ABS(H268-I268)*G268)</f>
        <v/>
      </c>
      <c r="AA268" s="22" t="str">
        <f aca="false">IF(OR(J268="",N(Z268)=0),"",ABS(J268-H268)/ABS(H268-I268))</f>
        <v/>
      </c>
      <c r="AB268" s="23" t="str">
        <f aca="false">IF(U268&lt;&gt;"Closed","",(N(L268)*N(M268)+N(N268)*N(O268)+Y268*Q268)/G268)</f>
        <v/>
      </c>
      <c r="AC268" s="24" t="str">
        <f aca="false">IF(U268&lt;&gt;"Closed","",IF($B268="Short",-1,1)*((N(M268)-H268)*N(L268)+(N(O268)-H268)*N(N268)+(Q268-H268)*Y268)-N(R268))</f>
        <v/>
      </c>
      <c r="AD268" s="25" t="str">
        <f aca="false">IF(OR(AC268="",N(Z268)=0),"",AC268/Z268)</f>
        <v/>
      </c>
      <c r="AE268" s="25" t="str">
        <f aca="false">IF(OR(S268="",N(Z268)=0),"",IF($B268="Short",-1,1)*(S268-H268)*G268/Z268)</f>
        <v/>
      </c>
      <c r="AF268" s="25" t="str">
        <f aca="false">IF(OR(T268="",N(Z268)=0),"",IF($B268="Short",-1,1)*(T268-H268)*G268/Z268)</f>
        <v/>
      </c>
      <c r="AG268" s="21" t="str">
        <f aca="false">IF(U268&lt;&gt;"Open","",Y268*MAX(0,IF($B268="Short",-1,1)*(H268-IF(K268="",I268,K268))))</f>
        <v/>
      </c>
      <c r="AH268" s="26" t="str">
        <f aca="false">IF(U268&lt;&gt;"Closed","",DATE(YEAR(P268),MONTH(P268),1))</f>
        <v/>
      </c>
      <c r="AI268" s="19" t="str">
        <f aca="false">IF(U268&lt;&gt;"Closed","",COUNTIFS($U$7:$U$506,"Closed",$P$7:$P$506,"&lt;"&amp;P268)+COUNTIFS($U$7:U268,"Closed",$P$7:P268,P268))</f>
        <v/>
      </c>
    </row>
    <row r="269" customFormat="false" ht="15" hidden="false" customHeight="false" outlineLevel="0" collapsed="false">
      <c r="A269" s="13"/>
      <c r="B269" s="14"/>
      <c r="C269" s="14"/>
      <c r="D269" s="14"/>
      <c r="E269" s="15"/>
      <c r="F269" s="15"/>
      <c r="G269" s="16"/>
      <c r="H269" s="17"/>
      <c r="I269" s="17"/>
      <c r="J269" s="17"/>
      <c r="K269" s="17"/>
      <c r="L269" s="16"/>
      <c r="M269" s="17"/>
      <c r="N269" s="16"/>
      <c r="O269" s="17"/>
      <c r="P269" s="15"/>
      <c r="Q269" s="17"/>
      <c r="R269" s="17"/>
      <c r="S269" s="17"/>
      <c r="T269" s="17"/>
      <c r="U269" s="18" t="str">
        <f aca="false">IF(A269="","",IF(N(G269)-N(L269)-N(N269)&lt;0,"Check shares",IF(AND(P269&lt;&gt;"",Q269&lt;&gt;""),"Closed","Open")))</f>
        <v/>
      </c>
      <c r="V269" s="19" t="str">
        <f aca="false">IF(OR(F269="",P269=""),"",NETWORKDAYS(F269,P269,Lists!$F$5:$F$40)-1)</f>
        <v/>
      </c>
      <c r="W269" s="18" t="str">
        <f aca="false">IF(V269="","",IF(V269=0,"Same day","Overnight"))</f>
        <v/>
      </c>
      <c r="X269" s="18" t="str">
        <f aca="false">IF(OR(E269="",F269=""),"",IF(AND(E269&gt;=F269,OR(P269="",E269&lt;=P269)),"Yes","No"))</f>
        <v/>
      </c>
      <c r="Y269" s="20" t="str">
        <f aca="false">IF(A269="","",N(G269)-N(L269)-N(N269))</f>
        <v/>
      </c>
      <c r="Z269" s="21" t="str">
        <f aca="false">IF(OR(G269="",H269="",I269=""),"",ABS(H269-I269)*G269)</f>
        <v/>
      </c>
      <c r="AA269" s="22" t="str">
        <f aca="false">IF(OR(J269="",N(Z269)=0),"",ABS(J269-H269)/ABS(H269-I269))</f>
        <v/>
      </c>
      <c r="AB269" s="23" t="str">
        <f aca="false">IF(U269&lt;&gt;"Closed","",(N(L269)*N(M269)+N(N269)*N(O269)+Y269*Q269)/G269)</f>
        <v/>
      </c>
      <c r="AC269" s="24" t="str">
        <f aca="false">IF(U269&lt;&gt;"Closed","",IF($B269="Short",-1,1)*((N(M269)-H269)*N(L269)+(N(O269)-H269)*N(N269)+(Q269-H269)*Y269)-N(R269))</f>
        <v/>
      </c>
      <c r="AD269" s="25" t="str">
        <f aca="false">IF(OR(AC269="",N(Z269)=0),"",AC269/Z269)</f>
        <v/>
      </c>
      <c r="AE269" s="25" t="str">
        <f aca="false">IF(OR(S269="",N(Z269)=0),"",IF($B269="Short",-1,1)*(S269-H269)*G269/Z269)</f>
        <v/>
      </c>
      <c r="AF269" s="25" t="str">
        <f aca="false">IF(OR(T269="",N(Z269)=0),"",IF($B269="Short",-1,1)*(T269-H269)*G269/Z269)</f>
        <v/>
      </c>
      <c r="AG269" s="21" t="str">
        <f aca="false">IF(U269&lt;&gt;"Open","",Y269*MAX(0,IF($B269="Short",-1,1)*(H269-IF(K269="",I269,K269))))</f>
        <v/>
      </c>
      <c r="AH269" s="26" t="str">
        <f aca="false">IF(U269&lt;&gt;"Closed","",DATE(YEAR(P269),MONTH(P269),1))</f>
        <v/>
      </c>
      <c r="AI269" s="19" t="str">
        <f aca="false">IF(U269&lt;&gt;"Closed","",COUNTIFS($U$7:$U$506,"Closed",$P$7:$P$506,"&lt;"&amp;P269)+COUNTIFS($U$7:U269,"Closed",$P$7:P269,P269))</f>
        <v/>
      </c>
    </row>
    <row r="270" customFormat="false" ht="15" hidden="false" customHeight="false" outlineLevel="0" collapsed="false">
      <c r="A270" s="13"/>
      <c r="B270" s="14"/>
      <c r="C270" s="14"/>
      <c r="D270" s="14"/>
      <c r="E270" s="15"/>
      <c r="F270" s="15"/>
      <c r="G270" s="16"/>
      <c r="H270" s="17"/>
      <c r="I270" s="17"/>
      <c r="J270" s="17"/>
      <c r="K270" s="17"/>
      <c r="L270" s="16"/>
      <c r="M270" s="17"/>
      <c r="N270" s="16"/>
      <c r="O270" s="17"/>
      <c r="P270" s="15"/>
      <c r="Q270" s="17"/>
      <c r="R270" s="17"/>
      <c r="S270" s="17"/>
      <c r="T270" s="17"/>
      <c r="U270" s="18" t="str">
        <f aca="false">IF(A270="","",IF(N(G270)-N(L270)-N(N270)&lt;0,"Check shares",IF(AND(P270&lt;&gt;"",Q270&lt;&gt;""),"Closed","Open")))</f>
        <v/>
      </c>
      <c r="V270" s="19" t="str">
        <f aca="false">IF(OR(F270="",P270=""),"",NETWORKDAYS(F270,P270,Lists!$F$5:$F$40)-1)</f>
        <v/>
      </c>
      <c r="W270" s="18" t="str">
        <f aca="false">IF(V270="","",IF(V270=0,"Same day","Overnight"))</f>
        <v/>
      </c>
      <c r="X270" s="18" t="str">
        <f aca="false">IF(OR(E270="",F270=""),"",IF(AND(E270&gt;=F270,OR(P270="",E270&lt;=P270)),"Yes","No"))</f>
        <v/>
      </c>
      <c r="Y270" s="20" t="str">
        <f aca="false">IF(A270="","",N(G270)-N(L270)-N(N270))</f>
        <v/>
      </c>
      <c r="Z270" s="21" t="str">
        <f aca="false">IF(OR(G270="",H270="",I270=""),"",ABS(H270-I270)*G270)</f>
        <v/>
      </c>
      <c r="AA270" s="22" t="str">
        <f aca="false">IF(OR(J270="",N(Z270)=0),"",ABS(J270-H270)/ABS(H270-I270))</f>
        <v/>
      </c>
      <c r="AB270" s="23" t="str">
        <f aca="false">IF(U270&lt;&gt;"Closed","",(N(L270)*N(M270)+N(N270)*N(O270)+Y270*Q270)/G270)</f>
        <v/>
      </c>
      <c r="AC270" s="24" t="str">
        <f aca="false">IF(U270&lt;&gt;"Closed","",IF($B270="Short",-1,1)*((N(M270)-H270)*N(L270)+(N(O270)-H270)*N(N270)+(Q270-H270)*Y270)-N(R270))</f>
        <v/>
      </c>
      <c r="AD270" s="25" t="str">
        <f aca="false">IF(OR(AC270="",N(Z270)=0),"",AC270/Z270)</f>
        <v/>
      </c>
      <c r="AE270" s="25" t="str">
        <f aca="false">IF(OR(S270="",N(Z270)=0),"",IF($B270="Short",-1,1)*(S270-H270)*G270/Z270)</f>
        <v/>
      </c>
      <c r="AF270" s="25" t="str">
        <f aca="false">IF(OR(T270="",N(Z270)=0),"",IF($B270="Short",-1,1)*(T270-H270)*G270/Z270)</f>
        <v/>
      </c>
      <c r="AG270" s="21" t="str">
        <f aca="false">IF(U270&lt;&gt;"Open","",Y270*MAX(0,IF($B270="Short",-1,1)*(H270-IF(K270="",I270,K270))))</f>
        <v/>
      </c>
      <c r="AH270" s="26" t="str">
        <f aca="false">IF(U270&lt;&gt;"Closed","",DATE(YEAR(P270),MONTH(P270),1))</f>
        <v/>
      </c>
      <c r="AI270" s="19" t="str">
        <f aca="false">IF(U270&lt;&gt;"Closed","",COUNTIFS($U$7:$U$506,"Closed",$P$7:$P$506,"&lt;"&amp;P270)+COUNTIFS($U$7:U270,"Closed",$P$7:P270,P270))</f>
        <v/>
      </c>
    </row>
    <row r="271" customFormat="false" ht="15" hidden="false" customHeight="false" outlineLevel="0" collapsed="false">
      <c r="A271" s="13"/>
      <c r="B271" s="14"/>
      <c r="C271" s="14"/>
      <c r="D271" s="14"/>
      <c r="E271" s="15"/>
      <c r="F271" s="15"/>
      <c r="G271" s="16"/>
      <c r="H271" s="17"/>
      <c r="I271" s="17"/>
      <c r="J271" s="17"/>
      <c r="K271" s="17"/>
      <c r="L271" s="16"/>
      <c r="M271" s="17"/>
      <c r="N271" s="16"/>
      <c r="O271" s="17"/>
      <c r="P271" s="15"/>
      <c r="Q271" s="17"/>
      <c r="R271" s="17"/>
      <c r="S271" s="17"/>
      <c r="T271" s="17"/>
      <c r="U271" s="18" t="str">
        <f aca="false">IF(A271="","",IF(N(G271)-N(L271)-N(N271)&lt;0,"Check shares",IF(AND(P271&lt;&gt;"",Q271&lt;&gt;""),"Closed","Open")))</f>
        <v/>
      </c>
      <c r="V271" s="19" t="str">
        <f aca="false">IF(OR(F271="",P271=""),"",NETWORKDAYS(F271,P271,Lists!$F$5:$F$40)-1)</f>
        <v/>
      </c>
      <c r="W271" s="18" t="str">
        <f aca="false">IF(V271="","",IF(V271=0,"Same day","Overnight"))</f>
        <v/>
      </c>
      <c r="X271" s="18" t="str">
        <f aca="false">IF(OR(E271="",F271=""),"",IF(AND(E271&gt;=F271,OR(P271="",E271&lt;=P271)),"Yes","No"))</f>
        <v/>
      </c>
      <c r="Y271" s="20" t="str">
        <f aca="false">IF(A271="","",N(G271)-N(L271)-N(N271))</f>
        <v/>
      </c>
      <c r="Z271" s="21" t="str">
        <f aca="false">IF(OR(G271="",H271="",I271=""),"",ABS(H271-I271)*G271)</f>
        <v/>
      </c>
      <c r="AA271" s="22" t="str">
        <f aca="false">IF(OR(J271="",N(Z271)=0),"",ABS(J271-H271)/ABS(H271-I271))</f>
        <v/>
      </c>
      <c r="AB271" s="23" t="str">
        <f aca="false">IF(U271&lt;&gt;"Closed","",(N(L271)*N(M271)+N(N271)*N(O271)+Y271*Q271)/G271)</f>
        <v/>
      </c>
      <c r="AC271" s="24" t="str">
        <f aca="false">IF(U271&lt;&gt;"Closed","",IF($B271="Short",-1,1)*((N(M271)-H271)*N(L271)+(N(O271)-H271)*N(N271)+(Q271-H271)*Y271)-N(R271))</f>
        <v/>
      </c>
      <c r="AD271" s="25" t="str">
        <f aca="false">IF(OR(AC271="",N(Z271)=0),"",AC271/Z271)</f>
        <v/>
      </c>
      <c r="AE271" s="25" t="str">
        <f aca="false">IF(OR(S271="",N(Z271)=0),"",IF($B271="Short",-1,1)*(S271-H271)*G271/Z271)</f>
        <v/>
      </c>
      <c r="AF271" s="25" t="str">
        <f aca="false">IF(OR(T271="",N(Z271)=0),"",IF($B271="Short",-1,1)*(T271-H271)*G271/Z271)</f>
        <v/>
      </c>
      <c r="AG271" s="21" t="str">
        <f aca="false">IF(U271&lt;&gt;"Open","",Y271*MAX(0,IF($B271="Short",-1,1)*(H271-IF(K271="",I271,K271))))</f>
        <v/>
      </c>
      <c r="AH271" s="26" t="str">
        <f aca="false">IF(U271&lt;&gt;"Closed","",DATE(YEAR(P271),MONTH(P271),1))</f>
        <v/>
      </c>
      <c r="AI271" s="19" t="str">
        <f aca="false">IF(U271&lt;&gt;"Closed","",COUNTIFS($U$7:$U$506,"Closed",$P$7:$P$506,"&lt;"&amp;P271)+COUNTIFS($U$7:U271,"Closed",$P$7:P271,P271))</f>
        <v/>
      </c>
    </row>
    <row r="272" customFormat="false" ht="15" hidden="false" customHeight="false" outlineLevel="0" collapsed="false">
      <c r="A272" s="13"/>
      <c r="B272" s="14"/>
      <c r="C272" s="14"/>
      <c r="D272" s="14"/>
      <c r="E272" s="15"/>
      <c r="F272" s="15"/>
      <c r="G272" s="16"/>
      <c r="H272" s="17"/>
      <c r="I272" s="17"/>
      <c r="J272" s="17"/>
      <c r="K272" s="17"/>
      <c r="L272" s="16"/>
      <c r="M272" s="17"/>
      <c r="N272" s="16"/>
      <c r="O272" s="17"/>
      <c r="P272" s="15"/>
      <c r="Q272" s="17"/>
      <c r="R272" s="17"/>
      <c r="S272" s="17"/>
      <c r="T272" s="17"/>
      <c r="U272" s="18" t="str">
        <f aca="false">IF(A272="","",IF(N(G272)-N(L272)-N(N272)&lt;0,"Check shares",IF(AND(P272&lt;&gt;"",Q272&lt;&gt;""),"Closed","Open")))</f>
        <v/>
      </c>
      <c r="V272" s="19" t="str">
        <f aca="false">IF(OR(F272="",P272=""),"",NETWORKDAYS(F272,P272,Lists!$F$5:$F$40)-1)</f>
        <v/>
      </c>
      <c r="W272" s="18" t="str">
        <f aca="false">IF(V272="","",IF(V272=0,"Same day","Overnight"))</f>
        <v/>
      </c>
      <c r="X272" s="18" t="str">
        <f aca="false">IF(OR(E272="",F272=""),"",IF(AND(E272&gt;=F272,OR(P272="",E272&lt;=P272)),"Yes","No"))</f>
        <v/>
      </c>
      <c r="Y272" s="20" t="str">
        <f aca="false">IF(A272="","",N(G272)-N(L272)-N(N272))</f>
        <v/>
      </c>
      <c r="Z272" s="21" t="str">
        <f aca="false">IF(OR(G272="",H272="",I272=""),"",ABS(H272-I272)*G272)</f>
        <v/>
      </c>
      <c r="AA272" s="22" t="str">
        <f aca="false">IF(OR(J272="",N(Z272)=0),"",ABS(J272-H272)/ABS(H272-I272))</f>
        <v/>
      </c>
      <c r="AB272" s="23" t="str">
        <f aca="false">IF(U272&lt;&gt;"Closed","",(N(L272)*N(M272)+N(N272)*N(O272)+Y272*Q272)/G272)</f>
        <v/>
      </c>
      <c r="AC272" s="24" t="str">
        <f aca="false">IF(U272&lt;&gt;"Closed","",IF($B272="Short",-1,1)*((N(M272)-H272)*N(L272)+(N(O272)-H272)*N(N272)+(Q272-H272)*Y272)-N(R272))</f>
        <v/>
      </c>
      <c r="AD272" s="25" t="str">
        <f aca="false">IF(OR(AC272="",N(Z272)=0),"",AC272/Z272)</f>
        <v/>
      </c>
      <c r="AE272" s="25" t="str">
        <f aca="false">IF(OR(S272="",N(Z272)=0),"",IF($B272="Short",-1,1)*(S272-H272)*G272/Z272)</f>
        <v/>
      </c>
      <c r="AF272" s="25" t="str">
        <f aca="false">IF(OR(T272="",N(Z272)=0),"",IF($B272="Short",-1,1)*(T272-H272)*G272/Z272)</f>
        <v/>
      </c>
      <c r="AG272" s="21" t="str">
        <f aca="false">IF(U272&lt;&gt;"Open","",Y272*MAX(0,IF($B272="Short",-1,1)*(H272-IF(K272="",I272,K272))))</f>
        <v/>
      </c>
      <c r="AH272" s="26" t="str">
        <f aca="false">IF(U272&lt;&gt;"Closed","",DATE(YEAR(P272),MONTH(P272),1))</f>
        <v/>
      </c>
      <c r="AI272" s="19" t="str">
        <f aca="false">IF(U272&lt;&gt;"Closed","",COUNTIFS($U$7:$U$506,"Closed",$P$7:$P$506,"&lt;"&amp;P272)+COUNTIFS($U$7:U272,"Closed",$P$7:P272,P272))</f>
        <v/>
      </c>
    </row>
    <row r="273" customFormat="false" ht="15" hidden="false" customHeight="false" outlineLevel="0" collapsed="false">
      <c r="A273" s="13"/>
      <c r="B273" s="14"/>
      <c r="C273" s="14"/>
      <c r="D273" s="14"/>
      <c r="E273" s="15"/>
      <c r="F273" s="15"/>
      <c r="G273" s="16"/>
      <c r="H273" s="17"/>
      <c r="I273" s="17"/>
      <c r="J273" s="17"/>
      <c r="K273" s="17"/>
      <c r="L273" s="16"/>
      <c r="M273" s="17"/>
      <c r="N273" s="16"/>
      <c r="O273" s="17"/>
      <c r="P273" s="15"/>
      <c r="Q273" s="17"/>
      <c r="R273" s="17"/>
      <c r="S273" s="17"/>
      <c r="T273" s="17"/>
      <c r="U273" s="18" t="str">
        <f aca="false">IF(A273="","",IF(N(G273)-N(L273)-N(N273)&lt;0,"Check shares",IF(AND(P273&lt;&gt;"",Q273&lt;&gt;""),"Closed","Open")))</f>
        <v/>
      </c>
      <c r="V273" s="19" t="str">
        <f aca="false">IF(OR(F273="",P273=""),"",NETWORKDAYS(F273,P273,Lists!$F$5:$F$40)-1)</f>
        <v/>
      </c>
      <c r="W273" s="18" t="str">
        <f aca="false">IF(V273="","",IF(V273=0,"Same day","Overnight"))</f>
        <v/>
      </c>
      <c r="X273" s="18" t="str">
        <f aca="false">IF(OR(E273="",F273=""),"",IF(AND(E273&gt;=F273,OR(P273="",E273&lt;=P273)),"Yes","No"))</f>
        <v/>
      </c>
      <c r="Y273" s="20" t="str">
        <f aca="false">IF(A273="","",N(G273)-N(L273)-N(N273))</f>
        <v/>
      </c>
      <c r="Z273" s="21" t="str">
        <f aca="false">IF(OR(G273="",H273="",I273=""),"",ABS(H273-I273)*G273)</f>
        <v/>
      </c>
      <c r="AA273" s="22" t="str">
        <f aca="false">IF(OR(J273="",N(Z273)=0),"",ABS(J273-H273)/ABS(H273-I273))</f>
        <v/>
      </c>
      <c r="AB273" s="23" t="str">
        <f aca="false">IF(U273&lt;&gt;"Closed","",(N(L273)*N(M273)+N(N273)*N(O273)+Y273*Q273)/G273)</f>
        <v/>
      </c>
      <c r="AC273" s="24" t="str">
        <f aca="false">IF(U273&lt;&gt;"Closed","",IF($B273="Short",-1,1)*((N(M273)-H273)*N(L273)+(N(O273)-H273)*N(N273)+(Q273-H273)*Y273)-N(R273))</f>
        <v/>
      </c>
      <c r="AD273" s="25" t="str">
        <f aca="false">IF(OR(AC273="",N(Z273)=0),"",AC273/Z273)</f>
        <v/>
      </c>
      <c r="AE273" s="25" t="str">
        <f aca="false">IF(OR(S273="",N(Z273)=0),"",IF($B273="Short",-1,1)*(S273-H273)*G273/Z273)</f>
        <v/>
      </c>
      <c r="AF273" s="25" t="str">
        <f aca="false">IF(OR(T273="",N(Z273)=0),"",IF($B273="Short",-1,1)*(T273-H273)*G273/Z273)</f>
        <v/>
      </c>
      <c r="AG273" s="21" t="str">
        <f aca="false">IF(U273&lt;&gt;"Open","",Y273*MAX(0,IF($B273="Short",-1,1)*(H273-IF(K273="",I273,K273))))</f>
        <v/>
      </c>
      <c r="AH273" s="26" t="str">
        <f aca="false">IF(U273&lt;&gt;"Closed","",DATE(YEAR(P273),MONTH(P273),1))</f>
        <v/>
      </c>
      <c r="AI273" s="19" t="str">
        <f aca="false">IF(U273&lt;&gt;"Closed","",COUNTIFS($U$7:$U$506,"Closed",$P$7:$P$506,"&lt;"&amp;P273)+COUNTIFS($U$7:U273,"Closed",$P$7:P273,P273))</f>
        <v/>
      </c>
    </row>
    <row r="274" customFormat="false" ht="15" hidden="false" customHeight="false" outlineLevel="0" collapsed="false">
      <c r="A274" s="13"/>
      <c r="B274" s="14"/>
      <c r="C274" s="14"/>
      <c r="D274" s="14"/>
      <c r="E274" s="15"/>
      <c r="F274" s="15"/>
      <c r="G274" s="16"/>
      <c r="H274" s="17"/>
      <c r="I274" s="17"/>
      <c r="J274" s="17"/>
      <c r="K274" s="17"/>
      <c r="L274" s="16"/>
      <c r="M274" s="17"/>
      <c r="N274" s="16"/>
      <c r="O274" s="17"/>
      <c r="P274" s="15"/>
      <c r="Q274" s="17"/>
      <c r="R274" s="17"/>
      <c r="S274" s="17"/>
      <c r="T274" s="17"/>
      <c r="U274" s="18" t="str">
        <f aca="false">IF(A274="","",IF(N(G274)-N(L274)-N(N274)&lt;0,"Check shares",IF(AND(P274&lt;&gt;"",Q274&lt;&gt;""),"Closed","Open")))</f>
        <v/>
      </c>
      <c r="V274" s="19" t="str">
        <f aca="false">IF(OR(F274="",P274=""),"",NETWORKDAYS(F274,P274,Lists!$F$5:$F$40)-1)</f>
        <v/>
      </c>
      <c r="W274" s="18" t="str">
        <f aca="false">IF(V274="","",IF(V274=0,"Same day","Overnight"))</f>
        <v/>
      </c>
      <c r="X274" s="18" t="str">
        <f aca="false">IF(OR(E274="",F274=""),"",IF(AND(E274&gt;=F274,OR(P274="",E274&lt;=P274)),"Yes","No"))</f>
        <v/>
      </c>
      <c r="Y274" s="20" t="str">
        <f aca="false">IF(A274="","",N(G274)-N(L274)-N(N274))</f>
        <v/>
      </c>
      <c r="Z274" s="21" t="str">
        <f aca="false">IF(OR(G274="",H274="",I274=""),"",ABS(H274-I274)*G274)</f>
        <v/>
      </c>
      <c r="AA274" s="22" t="str">
        <f aca="false">IF(OR(J274="",N(Z274)=0),"",ABS(J274-H274)/ABS(H274-I274))</f>
        <v/>
      </c>
      <c r="AB274" s="23" t="str">
        <f aca="false">IF(U274&lt;&gt;"Closed","",(N(L274)*N(M274)+N(N274)*N(O274)+Y274*Q274)/G274)</f>
        <v/>
      </c>
      <c r="AC274" s="24" t="str">
        <f aca="false">IF(U274&lt;&gt;"Closed","",IF($B274="Short",-1,1)*((N(M274)-H274)*N(L274)+(N(O274)-H274)*N(N274)+(Q274-H274)*Y274)-N(R274))</f>
        <v/>
      </c>
      <c r="AD274" s="25" t="str">
        <f aca="false">IF(OR(AC274="",N(Z274)=0),"",AC274/Z274)</f>
        <v/>
      </c>
      <c r="AE274" s="25" t="str">
        <f aca="false">IF(OR(S274="",N(Z274)=0),"",IF($B274="Short",-1,1)*(S274-H274)*G274/Z274)</f>
        <v/>
      </c>
      <c r="AF274" s="25" t="str">
        <f aca="false">IF(OR(T274="",N(Z274)=0),"",IF($B274="Short",-1,1)*(T274-H274)*G274/Z274)</f>
        <v/>
      </c>
      <c r="AG274" s="21" t="str">
        <f aca="false">IF(U274&lt;&gt;"Open","",Y274*MAX(0,IF($B274="Short",-1,1)*(H274-IF(K274="",I274,K274))))</f>
        <v/>
      </c>
      <c r="AH274" s="26" t="str">
        <f aca="false">IF(U274&lt;&gt;"Closed","",DATE(YEAR(P274),MONTH(P274),1))</f>
        <v/>
      </c>
      <c r="AI274" s="19" t="str">
        <f aca="false">IF(U274&lt;&gt;"Closed","",COUNTIFS($U$7:$U$506,"Closed",$P$7:$P$506,"&lt;"&amp;P274)+COUNTIFS($U$7:U274,"Closed",$P$7:P274,P274))</f>
        <v/>
      </c>
    </row>
    <row r="275" customFormat="false" ht="15" hidden="false" customHeight="false" outlineLevel="0" collapsed="false">
      <c r="A275" s="13"/>
      <c r="B275" s="14"/>
      <c r="C275" s="14"/>
      <c r="D275" s="14"/>
      <c r="E275" s="15"/>
      <c r="F275" s="15"/>
      <c r="G275" s="16"/>
      <c r="H275" s="17"/>
      <c r="I275" s="17"/>
      <c r="J275" s="17"/>
      <c r="K275" s="17"/>
      <c r="L275" s="16"/>
      <c r="M275" s="17"/>
      <c r="N275" s="16"/>
      <c r="O275" s="17"/>
      <c r="P275" s="15"/>
      <c r="Q275" s="17"/>
      <c r="R275" s="17"/>
      <c r="S275" s="17"/>
      <c r="T275" s="17"/>
      <c r="U275" s="18" t="str">
        <f aca="false">IF(A275="","",IF(N(G275)-N(L275)-N(N275)&lt;0,"Check shares",IF(AND(P275&lt;&gt;"",Q275&lt;&gt;""),"Closed","Open")))</f>
        <v/>
      </c>
      <c r="V275" s="19" t="str">
        <f aca="false">IF(OR(F275="",P275=""),"",NETWORKDAYS(F275,P275,Lists!$F$5:$F$40)-1)</f>
        <v/>
      </c>
      <c r="W275" s="18" t="str">
        <f aca="false">IF(V275="","",IF(V275=0,"Same day","Overnight"))</f>
        <v/>
      </c>
      <c r="X275" s="18" t="str">
        <f aca="false">IF(OR(E275="",F275=""),"",IF(AND(E275&gt;=F275,OR(P275="",E275&lt;=P275)),"Yes","No"))</f>
        <v/>
      </c>
      <c r="Y275" s="20" t="str">
        <f aca="false">IF(A275="","",N(G275)-N(L275)-N(N275))</f>
        <v/>
      </c>
      <c r="Z275" s="21" t="str">
        <f aca="false">IF(OR(G275="",H275="",I275=""),"",ABS(H275-I275)*G275)</f>
        <v/>
      </c>
      <c r="AA275" s="22" t="str">
        <f aca="false">IF(OR(J275="",N(Z275)=0),"",ABS(J275-H275)/ABS(H275-I275))</f>
        <v/>
      </c>
      <c r="AB275" s="23" t="str">
        <f aca="false">IF(U275&lt;&gt;"Closed","",(N(L275)*N(M275)+N(N275)*N(O275)+Y275*Q275)/G275)</f>
        <v/>
      </c>
      <c r="AC275" s="24" t="str">
        <f aca="false">IF(U275&lt;&gt;"Closed","",IF($B275="Short",-1,1)*((N(M275)-H275)*N(L275)+(N(O275)-H275)*N(N275)+(Q275-H275)*Y275)-N(R275))</f>
        <v/>
      </c>
      <c r="AD275" s="25" t="str">
        <f aca="false">IF(OR(AC275="",N(Z275)=0),"",AC275/Z275)</f>
        <v/>
      </c>
      <c r="AE275" s="25" t="str">
        <f aca="false">IF(OR(S275="",N(Z275)=0),"",IF($B275="Short",-1,1)*(S275-H275)*G275/Z275)</f>
        <v/>
      </c>
      <c r="AF275" s="25" t="str">
        <f aca="false">IF(OR(T275="",N(Z275)=0),"",IF($B275="Short",-1,1)*(T275-H275)*G275/Z275)</f>
        <v/>
      </c>
      <c r="AG275" s="21" t="str">
        <f aca="false">IF(U275&lt;&gt;"Open","",Y275*MAX(0,IF($B275="Short",-1,1)*(H275-IF(K275="",I275,K275))))</f>
        <v/>
      </c>
      <c r="AH275" s="26" t="str">
        <f aca="false">IF(U275&lt;&gt;"Closed","",DATE(YEAR(P275),MONTH(P275),1))</f>
        <v/>
      </c>
      <c r="AI275" s="19" t="str">
        <f aca="false">IF(U275&lt;&gt;"Closed","",COUNTIFS($U$7:$U$506,"Closed",$P$7:$P$506,"&lt;"&amp;P275)+COUNTIFS($U$7:U275,"Closed",$P$7:P275,P275))</f>
        <v/>
      </c>
    </row>
    <row r="276" customFormat="false" ht="15" hidden="false" customHeight="false" outlineLevel="0" collapsed="false">
      <c r="A276" s="13"/>
      <c r="B276" s="14"/>
      <c r="C276" s="14"/>
      <c r="D276" s="14"/>
      <c r="E276" s="15"/>
      <c r="F276" s="15"/>
      <c r="G276" s="16"/>
      <c r="H276" s="17"/>
      <c r="I276" s="17"/>
      <c r="J276" s="17"/>
      <c r="K276" s="17"/>
      <c r="L276" s="16"/>
      <c r="M276" s="17"/>
      <c r="N276" s="16"/>
      <c r="O276" s="17"/>
      <c r="P276" s="15"/>
      <c r="Q276" s="17"/>
      <c r="R276" s="17"/>
      <c r="S276" s="17"/>
      <c r="T276" s="17"/>
      <c r="U276" s="18" t="str">
        <f aca="false">IF(A276="","",IF(N(G276)-N(L276)-N(N276)&lt;0,"Check shares",IF(AND(P276&lt;&gt;"",Q276&lt;&gt;""),"Closed","Open")))</f>
        <v/>
      </c>
      <c r="V276" s="19" t="str">
        <f aca="false">IF(OR(F276="",P276=""),"",NETWORKDAYS(F276,P276,Lists!$F$5:$F$40)-1)</f>
        <v/>
      </c>
      <c r="W276" s="18" t="str">
        <f aca="false">IF(V276="","",IF(V276=0,"Same day","Overnight"))</f>
        <v/>
      </c>
      <c r="X276" s="18" t="str">
        <f aca="false">IF(OR(E276="",F276=""),"",IF(AND(E276&gt;=F276,OR(P276="",E276&lt;=P276)),"Yes","No"))</f>
        <v/>
      </c>
      <c r="Y276" s="20" t="str">
        <f aca="false">IF(A276="","",N(G276)-N(L276)-N(N276))</f>
        <v/>
      </c>
      <c r="Z276" s="21" t="str">
        <f aca="false">IF(OR(G276="",H276="",I276=""),"",ABS(H276-I276)*G276)</f>
        <v/>
      </c>
      <c r="AA276" s="22" t="str">
        <f aca="false">IF(OR(J276="",N(Z276)=0),"",ABS(J276-H276)/ABS(H276-I276))</f>
        <v/>
      </c>
      <c r="AB276" s="23" t="str">
        <f aca="false">IF(U276&lt;&gt;"Closed","",(N(L276)*N(M276)+N(N276)*N(O276)+Y276*Q276)/G276)</f>
        <v/>
      </c>
      <c r="AC276" s="24" t="str">
        <f aca="false">IF(U276&lt;&gt;"Closed","",IF($B276="Short",-1,1)*((N(M276)-H276)*N(L276)+(N(O276)-H276)*N(N276)+(Q276-H276)*Y276)-N(R276))</f>
        <v/>
      </c>
      <c r="AD276" s="25" t="str">
        <f aca="false">IF(OR(AC276="",N(Z276)=0),"",AC276/Z276)</f>
        <v/>
      </c>
      <c r="AE276" s="25" t="str">
        <f aca="false">IF(OR(S276="",N(Z276)=0),"",IF($B276="Short",-1,1)*(S276-H276)*G276/Z276)</f>
        <v/>
      </c>
      <c r="AF276" s="25" t="str">
        <f aca="false">IF(OR(T276="",N(Z276)=0),"",IF($B276="Short",-1,1)*(T276-H276)*G276/Z276)</f>
        <v/>
      </c>
      <c r="AG276" s="21" t="str">
        <f aca="false">IF(U276&lt;&gt;"Open","",Y276*MAX(0,IF($B276="Short",-1,1)*(H276-IF(K276="",I276,K276))))</f>
        <v/>
      </c>
      <c r="AH276" s="26" t="str">
        <f aca="false">IF(U276&lt;&gt;"Closed","",DATE(YEAR(P276),MONTH(P276),1))</f>
        <v/>
      </c>
      <c r="AI276" s="19" t="str">
        <f aca="false">IF(U276&lt;&gt;"Closed","",COUNTIFS($U$7:$U$506,"Closed",$P$7:$P$506,"&lt;"&amp;P276)+COUNTIFS($U$7:U276,"Closed",$P$7:P276,P276))</f>
        <v/>
      </c>
    </row>
    <row r="277" customFormat="false" ht="15" hidden="false" customHeight="false" outlineLevel="0" collapsed="false">
      <c r="A277" s="13"/>
      <c r="B277" s="14"/>
      <c r="C277" s="14"/>
      <c r="D277" s="14"/>
      <c r="E277" s="15"/>
      <c r="F277" s="15"/>
      <c r="G277" s="16"/>
      <c r="H277" s="17"/>
      <c r="I277" s="17"/>
      <c r="J277" s="17"/>
      <c r="K277" s="17"/>
      <c r="L277" s="16"/>
      <c r="M277" s="17"/>
      <c r="N277" s="16"/>
      <c r="O277" s="17"/>
      <c r="P277" s="15"/>
      <c r="Q277" s="17"/>
      <c r="R277" s="17"/>
      <c r="S277" s="17"/>
      <c r="T277" s="17"/>
      <c r="U277" s="18" t="str">
        <f aca="false">IF(A277="","",IF(N(G277)-N(L277)-N(N277)&lt;0,"Check shares",IF(AND(P277&lt;&gt;"",Q277&lt;&gt;""),"Closed","Open")))</f>
        <v/>
      </c>
      <c r="V277" s="19" t="str">
        <f aca="false">IF(OR(F277="",P277=""),"",NETWORKDAYS(F277,P277,Lists!$F$5:$F$40)-1)</f>
        <v/>
      </c>
      <c r="W277" s="18" t="str">
        <f aca="false">IF(V277="","",IF(V277=0,"Same day","Overnight"))</f>
        <v/>
      </c>
      <c r="X277" s="18" t="str">
        <f aca="false">IF(OR(E277="",F277=""),"",IF(AND(E277&gt;=F277,OR(P277="",E277&lt;=P277)),"Yes","No"))</f>
        <v/>
      </c>
      <c r="Y277" s="20" t="str">
        <f aca="false">IF(A277="","",N(G277)-N(L277)-N(N277))</f>
        <v/>
      </c>
      <c r="Z277" s="21" t="str">
        <f aca="false">IF(OR(G277="",H277="",I277=""),"",ABS(H277-I277)*G277)</f>
        <v/>
      </c>
      <c r="AA277" s="22" t="str">
        <f aca="false">IF(OR(J277="",N(Z277)=0),"",ABS(J277-H277)/ABS(H277-I277))</f>
        <v/>
      </c>
      <c r="AB277" s="23" t="str">
        <f aca="false">IF(U277&lt;&gt;"Closed","",(N(L277)*N(M277)+N(N277)*N(O277)+Y277*Q277)/G277)</f>
        <v/>
      </c>
      <c r="AC277" s="24" t="str">
        <f aca="false">IF(U277&lt;&gt;"Closed","",IF($B277="Short",-1,1)*((N(M277)-H277)*N(L277)+(N(O277)-H277)*N(N277)+(Q277-H277)*Y277)-N(R277))</f>
        <v/>
      </c>
      <c r="AD277" s="25" t="str">
        <f aca="false">IF(OR(AC277="",N(Z277)=0),"",AC277/Z277)</f>
        <v/>
      </c>
      <c r="AE277" s="25" t="str">
        <f aca="false">IF(OR(S277="",N(Z277)=0),"",IF($B277="Short",-1,1)*(S277-H277)*G277/Z277)</f>
        <v/>
      </c>
      <c r="AF277" s="25" t="str">
        <f aca="false">IF(OR(T277="",N(Z277)=0),"",IF($B277="Short",-1,1)*(T277-H277)*G277/Z277)</f>
        <v/>
      </c>
      <c r="AG277" s="21" t="str">
        <f aca="false">IF(U277&lt;&gt;"Open","",Y277*MAX(0,IF($B277="Short",-1,1)*(H277-IF(K277="",I277,K277))))</f>
        <v/>
      </c>
      <c r="AH277" s="26" t="str">
        <f aca="false">IF(U277&lt;&gt;"Closed","",DATE(YEAR(P277),MONTH(P277),1))</f>
        <v/>
      </c>
      <c r="AI277" s="19" t="str">
        <f aca="false">IF(U277&lt;&gt;"Closed","",COUNTIFS($U$7:$U$506,"Closed",$P$7:$P$506,"&lt;"&amp;P277)+COUNTIFS($U$7:U277,"Closed",$P$7:P277,P277))</f>
        <v/>
      </c>
    </row>
    <row r="278" customFormat="false" ht="15" hidden="false" customHeight="false" outlineLevel="0" collapsed="false">
      <c r="A278" s="13"/>
      <c r="B278" s="14"/>
      <c r="C278" s="14"/>
      <c r="D278" s="14"/>
      <c r="E278" s="15"/>
      <c r="F278" s="15"/>
      <c r="G278" s="16"/>
      <c r="H278" s="17"/>
      <c r="I278" s="17"/>
      <c r="J278" s="17"/>
      <c r="K278" s="17"/>
      <c r="L278" s="16"/>
      <c r="M278" s="17"/>
      <c r="N278" s="16"/>
      <c r="O278" s="17"/>
      <c r="P278" s="15"/>
      <c r="Q278" s="17"/>
      <c r="R278" s="17"/>
      <c r="S278" s="17"/>
      <c r="T278" s="17"/>
      <c r="U278" s="18" t="str">
        <f aca="false">IF(A278="","",IF(N(G278)-N(L278)-N(N278)&lt;0,"Check shares",IF(AND(P278&lt;&gt;"",Q278&lt;&gt;""),"Closed","Open")))</f>
        <v/>
      </c>
      <c r="V278" s="19" t="str">
        <f aca="false">IF(OR(F278="",P278=""),"",NETWORKDAYS(F278,P278,Lists!$F$5:$F$40)-1)</f>
        <v/>
      </c>
      <c r="W278" s="18" t="str">
        <f aca="false">IF(V278="","",IF(V278=0,"Same day","Overnight"))</f>
        <v/>
      </c>
      <c r="X278" s="18" t="str">
        <f aca="false">IF(OR(E278="",F278=""),"",IF(AND(E278&gt;=F278,OR(P278="",E278&lt;=P278)),"Yes","No"))</f>
        <v/>
      </c>
      <c r="Y278" s="20" t="str">
        <f aca="false">IF(A278="","",N(G278)-N(L278)-N(N278))</f>
        <v/>
      </c>
      <c r="Z278" s="21" t="str">
        <f aca="false">IF(OR(G278="",H278="",I278=""),"",ABS(H278-I278)*G278)</f>
        <v/>
      </c>
      <c r="AA278" s="22" t="str">
        <f aca="false">IF(OR(J278="",N(Z278)=0),"",ABS(J278-H278)/ABS(H278-I278))</f>
        <v/>
      </c>
      <c r="AB278" s="23" t="str">
        <f aca="false">IF(U278&lt;&gt;"Closed","",(N(L278)*N(M278)+N(N278)*N(O278)+Y278*Q278)/G278)</f>
        <v/>
      </c>
      <c r="AC278" s="24" t="str">
        <f aca="false">IF(U278&lt;&gt;"Closed","",IF($B278="Short",-1,1)*((N(M278)-H278)*N(L278)+(N(O278)-H278)*N(N278)+(Q278-H278)*Y278)-N(R278))</f>
        <v/>
      </c>
      <c r="AD278" s="25" t="str">
        <f aca="false">IF(OR(AC278="",N(Z278)=0),"",AC278/Z278)</f>
        <v/>
      </c>
      <c r="AE278" s="25" t="str">
        <f aca="false">IF(OR(S278="",N(Z278)=0),"",IF($B278="Short",-1,1)*(S278-H278)*G278/Z278)</f>
        <v/>
      </c>
      <c r="AF278" s="25" t="str">
        <f aca="false">IF(OR(T278="",N(Z278)=0),"",IF($B278="Short",-1,1)*(T278-H278)*G278/Z278)</f>
        <v/>
      </c>
      <c r="AG278" s="21" t="str">
        <f aca="false">IF(U278&lt;&gt;"Open","",Y278*MAX(0,IF($B278="Short",-1,1)*(H278-IF(K278="",I278,K278))))</f>
        <v/>
      </c>
      <c r="AH278" s="26" t="str">
        <f aca="false">IF(U278&lt;&gt;"Closed","",DATE(YEAR(P278),MONTH(P278),1))</f>
        <v/>
      </c>
      <c r="AI278" s="19" t="str">
        <f aca="false">IF(U278&lt;&gt;"Closed","",COUNTIFS($U$7:$U$506,"Closed",$P$7:$P$506,"&lt;"&amp;P278)+COUNTIFS($U$7:U278,"Closed",$P$7:P278,P278))</f>
        <v/>
      </c>
    </row>
    <row r="279" customFormat="false" ht="15" hidden="false" customHeight="false" outlineLevel="0" collapsed="false">
      <c r="A279" s="13"/>
      <c r="B279" s="14"/>
      <c r="C279" s="14"/>
      <c r="D279" s="14"/>
      <c r="E279" s="15"/>
      <c r="F279" s="15"/>
      <c r="G279" s="16"/>
      <c r="H279" s="17"/>
      <c r="I279" s="17"/>
      <c r="J279" s="17"/>
      <c r="K279" s="17"/>
      <c r="L279" s="16"/>
      <c r="M279" s="17"/>
      <c r="N279" s="16"/>
      <c r="O279" s="17"/>
      <c r="P279" s="15"/>
      <c r="Q279" s="17"/>
      <c r="R279" s="17"/>
      <c r="S279" s="17"/>
      <c r="T279" s="17"/>
      <c r="U279" s="18" t="str">
        <f aca="false">IF(A279="","",IF(N(G279)-N(L279)-N(N279)&lt;0,"Check shares",IF(AND(P279&lt;&gt;"",Q279&lt;&gt;""),"Closed","Open")))</f>
        <v/>
      </c>
      <c r="V279" s="19" t="str">
        <f aca="false">IF(OR(F279="",P279=""),"",NETWORKDAYS(F279,P279,Lists!$F$5:$F$40)-1)</f>
        <v/>
      </c>
      <c r="W279" s="18" t="str">
        <f aca="false">IF(V279="","",IF(V279=0,"Same day","Overnight"))</f>
        <v/>
      </c>
      <c r="X279" s="18" t="str">
        <f aca="false">IF(OR(E279="",F279=""),"",IF(AND(E279&gt;=F279,OR(P279="",E279&lt;=P279)),"Yes","No"))</f>
        <v/>
      </c>
      <c r="Y279" s="20" t="str">
        <f aca="false">IF(A279="","",N(G279)-N(L279)-N(N279))</f>
        <v/>
      </c>
      <c r="Z279" s="21" t="str">
        <f aca="false">IF(OR(G279="",H279="",I279=""),"",ABS(H279-I279)*G279)</f>
        <v/>
      </c>
      <c r="AA279" s="22" t="str">
        <f aca="false">IF(OR(J279="",N(Z279)=0),"",ABS(J279-H279)/ABS(H279-I279))</f>
        <v/>
      </c>
      <c r="AB279" s="23" t="str">
        <f aca="false">IF(U279&lt;&gt;"Closed","",(N(L279)*N(M279)+N(N279)*N(O279)+Y279*Q279)/G279)</f>
        <v/>
      </c>
      <c r="AC279" s="24" t="str">
        <f aca="false">IF(U279&lt;&gt;"Closed","",IF($B279="Short",-1,1)*((N(M279)-H279)*N(L279)+(N(O279)-H279)*N(N279)+(Q279-H279)*Y279)-N(R279))</f>
        <v/>
      </c>
      <c r="AD279" s="25" t="str">
        <f aca="false">IF(OR(AC279="",N(Z279)=0),"",AC279/Z279)</f>
        <v/>
      </c>
      <c r="AE279" s="25" t="str">
        <f aca="false">IF(OR(S279="",N(Z279)=0),"",IF($B279="Short",-1,1)*(S279-H279)*G279/Z279)</f>
        <v/>
      </c>
      <c r="AF279" s="25" t="str">
        <f aca="false">IF(OR(T279="",N(Z279)=0),"",IF($B279="Short",-1,1)*(T279-H279)*G279/Z279)</f>
        <v/>
      </c>
      <c r="AG279" s="21" t="str">
        <f aca="false">IF(U279&lt;&gt;"Open","",Y279*MAX(0,IF($B279="Short",-1,1)*(H279-IF(K279="",I279,K279))))</f>
        <v/>
      </c>
      <c r="AH279" s="26" t="str">
        <f aca="false">IF(U279&lt;&gt;"Closed","",DATE(YEAR(P279),MONTH(P279),1))</f>
        <v/>
      </c>
      <c r="AI279" s="19" t="str">
        <f aca="false">IF(U279&lt;&gt;"Closed","",COUNTIFS($U$7:$U$506,"Closed",$P$7:$P$506,"&lt;"&amp;P279)+COUNTIFS($U$7:U279,"Closed",$P$7:P279,P279))</f>
        <v/>
      </c>
    </row>
    <row r="280" customFormat="false" ht="15" hidden="false" customHeight="false" outlineLevel="0" collapsed="false">
      <c r="A280" s="13"/>
      <c r="B280" s="14"/>
      <c r="C280" s="14"/>
      <c r="D280" s="14"/>
      <c r="E280" s="15"/>
      <c r="F280" s="15"/>
      <c r="G280" s="16"/>
      <c r="H280" s="17"/>
      <c r="I280" s="17"/>
      <c r="J280" s="17"/>
      <c r="K280" s="17"/>
      <c r="L280" s="16"/>
      <c r="M280" s="17"/>
      <c r="N280" s="16"/>
      <c r="O280" s="17"/>
      <c r="P280" s="15"/>
      <c r="Q280" s="17"/>
      <c r="R280" s="17"/>
      <c r="S280" s="17"/>
      <c r="T280" s="17"/>
      <c r="U280" s="18" t="str">
        <f aca="false">IF(A280="","",IF(N(G280)-N(L280)-N(N280)&lt;0,"Check shares",IF(AND(P280&lt;&gt;"",Q280&lt;&gt;""),"Closed","Open")))</f>
        <v/>
      </c>
      <c r="V280" s="19" t="str">
        <f aca="false">IF(OR(F280="",P280=""),"",NETWORKDAYS(F280,P280,Lists!$F$5:$F$40)-1)</f>
        <v/>
      </c>
      <c r="W280" s="18" t="str">
        <f aca="false">IF(V280="","",IF(V280=0,"Same day","Overnight"))</f>
        <v/>
      </c>
      <c r="X280" s="18" t="str">
        <f aca="false">IF(OR(E280="",F280=""),"",IF(AND(E280&gt;=F280,OR(P280="",E280&lt;=P280)),"Yes","No"))</f>
        <v/>
      </c>
      <c r="Y280" s="20" t="str">
        <f aca="false">IF(A280="","",N(G280)-N(L280)-N(N280))</f>
        <v/>
      </c>
      <c r="Z280" s="21" t="str">
        <f aca="false">IF(OR(G280="",H280="",I280=""),"",ABS(H280-I280)*G280)</f>
        <v/>
      </c>
      <c r="AA280" s="22" t="str">
        <f aca="false">IF(OR(J280="",N(Z280)=0),"",ABS(J280-H280)/ABS(H280-I280))</f>
        <v/>
      </c>
      <c r="AB280" s="23" t="str">
        <f aca="false">IF(U280&lt;&gt;"Closed","",(N(L280)*N(M280)+N(N280)*N(O280)+Y280*Q280)/G280)</f>
        <v/>
      </c>
      <c r="AC280" s="24" t="str">
        <f aca="false">IF(U280&lt;&gt;"Closed","",IF($B280="Short",-1,1)*((N(M280)-H280)*N(L280)+(N(O280)-H280)*N(N280)+(Q280-H280)*Y280)-N(R280))</f>
        <v/>
      </c>
      <c r="AD280" s="25" t="str">
        <f aca="false">IF(OR(AC280="",N(Z280)=0),"",AC280/Z280)</f>
        <v/>
      </c>
      <c r="AE280" s="25" t="str">
        <f aca="false">IF(OR(S280="",N(Z280)=0),"",IF($B280="Short",-1,1)*(S280-H280)*G280/Z280)</f>
        <v/>
      </c>
      <c r="AF280" s="25" t="str">
        <f aca="false">IF(OR(T280="",N(Z280)=0),"",IF($B280="Short",-1,1)*(T280-H280)*G280/Z280)</f>
        <v/>
      </c>
      <c r="AG280" s="21" t="str">
        <f aca="false">IF(U280&lt;&gt;"Open","",Y280*MAX(0,IF($B280="Short",-1,1)*(H280-IF(K280="",I280,K280))))</f>
        <v/>
      </c>
      <c r="AH280" s="26" t="str">
        <f aca="false">IF(U280&lt;&gt;"Closed","",DATE(YEAR(P280),MONTH(P280),1))</f>
        <v/>
      </c>
      <c r="AI280" s="19" t="str">
        <f aca="false">IF(U280&lt;&gt;"Closed","",COUNTIFS($U$7:$U$506,"Closed",$P$7:$P$506,"&lt;"&amp;P280)+COUNTIFS($U$7:U280,"Closed",$P$7:P280,P280))</f>
        <v/>
      </c>
    </row>
    <row r="281" customFormat="false" ht="15" hidden="false" customHeight="false" outlineLevel="0" collapsed="false">
      <c r="A281" s="13"/>
      <c r="B281" s="14"/>
      <c r="C281" s="14"/>
      <c r="D281" s="14"/>
      <c r="E281" s="15"/>
      <c r="F281" s="15"/>
      <c r="G281" s="16"/>
      <c r="H281" s="17"/>
      <c r="I281" s="17"/>
      <c r="J281" s="17"/>
      <c r="K281" s="17"/>
      <c r="L281" s="16"/>
      <c r="M281" s="17"/>
      <c r="N281" s="16"/>
      <c r="O281" s="17"/>
      <c r="P281" s="15"/>
      <c r="Q281" s="17"/>
      <c r="R281" s="17"/>
      <c r="S281" s="17"/>
      <c r="T281" s="17"/>
      <c r="U281" s="18" t="str">
        <f aca="false">IF(A281="","",IF(N(G281)-N(L281)-N(N281)&lt;0,"Check shares",IF(AND(P281&lt;&gt;"",Q281&lt;&gt;""),"Closed","Open")))</f>
        <v/>
      </c>
      <c r="V281" s="19" t="str">
        <f aca="false">IF(OR(F281="",P281=""),"",NETWORKDAYS(F281,P281,Lists!$F$5:$F$40)-1)</f>
        <v/>
      </c>
      <c r="W281" s="18" t="str">
        <f aca="false">IF(V281="","",IF(V281=0,"Same day","Overnight"))</f>
        <v/>
      </c>
      <c r="X281" s="18" t="str">
        <f aca="false">IF(OR(E281="",F281=""),"",IF(AND(E281&gt;=F281,OR(P281="",E281&lt;=P281)),"Yes","No"))</f>
        <v/>
      </c>
      <c r="Y281" s="20" t="str">
        <f aca="false">IF(A281="","",N(G281)-N(L281)-N(N281))</f>
        <v/>
      </c>
      <c r="Z281" s="21" t="str">
        <f aca="false">IF(OR(G281="",H281="",I281=""),"",ABS(H281-I281)*G281)</f>
        <v/>
      </c>
      <c r="AA281" s="22" t="str">
        <f aca="false">IF(OR(J281="",N(Z281)=0),"",ABS(J281-H281)/ABS(H281-I281))</f>
        <v/>
      </c>
      <c r="AB281" s="23" t="str">
        <f aca="false">IF(U281&lt;&gt;"Closed","",(N(L281)*N(M281)+N(N281)*N(O281)+Y281*Q281)/G281)</f>
        <v/>
      </c>
      <c r="AC281" s="24" t="str">
        <f aca="false">IF(U281&lt;&gt;"Closed","",IF($B281="Short",-1,1)*((N(M281)-H281)*N(L281)+(N(O281)-H281)*N(N281)+(Q281-H281)*Y281)-N(R281))</f>
        <v/>
      </c>
      <c r="AD281" s="25" t="str">
        <f aca="false">IF(OR(AC281="",N(Z281)=0),"",AC281/Z281)</f>
        <v/>
      </c>
      <c r="AE281" s="25" t="str">
        <f aca="false">IF(OR(S281="",N(Z281)=0),"",IF($B281="Short",-1,1)*(S281-H281)*G281/Z281)</f>
        <v/>
      </c>
      <c r="AF281" s="25" t="str">
        <f aca="false">IF(OR(T281="",N(Z281)=0),"",IF($B281="Short",-1,1)*(T281-H281)*G281/Z281)</f>
        <v/>
      </c>
      <c r="AG281" s="21" t="str">
        <f aca="false">IF(U281&lt;&gt;"Open","",Y281*MAX(0,IF($B281="Short",-1,1)*(H281-IF(K281="",I281,K281))))</f>
        <v/>
      </c>
      <c r="AH281" s="26" t="str">
        <f aca="false">IF(U281&lt;&gt;"Closed","",DATE(YEAR(P281),MONTH(P281),1))</f>
        <v/>
      </c>
      <c r="AI281" s="19" t="str">
        <f aca="false">IF(U281&lt;&gt;"Closed","",COUNTIFS($U$7:$U$506,"Closed",$P$7:$P$506,"&lt;"&amp;P281)+COUNTIFS($U$7:U281,"Closed",$P$7:P281,P281))</f>
        <v/>
      </c>
    </row>
    <row r="282" customFormat="false" ht="15" hidden="false" customHeight="false" outlineLevel="0" collapsed="false">
      <c r="A282" s="13"/>
      <c r="B282" s="14"/>
      <c r="C282" s="14"/>
      <c r="D282" s="14"/>
      <c r="E282" s="15"/>
      <c r="F282" s="15"/>
      <c r="G282" s="16"/>
      <c r="H282" s="17"/>
      <c r="I282" s="17"/>
      <c r="J282" s="17"/>
      <c r="K282" s="17"/>
      <c r="L282" s="16"/>
      <c r="M282" s="17"/>
      <c r="N282" s="16"/>
      <c r="O282" s="17"/>
      <c r="P282" s="15"/>
      <c r="Q282" s="17"/>
      <c r="R282" s="17"/>
      <c r="S282" s="17"/>
      <c r="T282" s="17"/>
      <c r="U282" s="18" t="str">
        <f aca="false">IF(A282="","",IF(N(G282)-N(L282)-N(N282)&lt;0,"Check shares",IF(AND(P282&lt;&gt;"",Q282&lt;&gt;""),"Closed","Open")))</f>
        <v/>
      </c>
      <c r="V282" s="19" t="str">
        <f aca="false">IF(OR(F282="",P282=""),"",NETWORKDAYS(F282,P282,Lists!$F$5:$F$40)-1)</f>
        <v/>
      </c>
      <c r="W282" s="18" t="str">
        <f aca="false">IF(V282="","",IF(V282=0,"Same day","Overnight"))</f>
        <v/>
      </c>
      <c r="X282" s="18" t="str">
        <f aca="false">IF(OR(E282="",F282=""),"",IF(AND(E282&gt;=F282,OR(P282="",E282&lt;=P282)),"Yes","No"))</f>
        <v/>
      </c>
      <c r="Y282" s="20" t="str">
        <f aca="false">IF(A282="","",N(G282)-N(L282)-N(N282))</f>
        <v/>
      </c>
      <c r="Z282" s="21" t="str">
        <f aca="false">IF(OR(G282="",H282="",I282=""),"",ABS(H282-I282)*G282)</f>
        <v/>
      </c>
      <c r="AA282" s="22" t="str">
        <f aca="false">IF(OR(J282="",N(Z282)=0),"",ABS(J282-H282)/ABS(H282-I282))</f>
        <v/>
      </c>
      <c r="AB282" s="23" t="str">
        <f aca="false">IF(U282&lt;&gt;"Closed","",(N(L282)*N(M282)+N(N282)*N(O282)+Y282*Q282)/G282)</f>
        <v/>
      </c>
      <c r="AC282" s="24" t="str">
        <f aca="false">IF(U282&lt;&gt;"Closed","",IF($B282="Short",-1,1)*((N(M282)-H282)*N(L282)+(N(O282)-H282)*N(N282)+(Q282-H282)*Y282)-N(R282))</f>
        <v/>
      </c>
      <c r="AD282" s="25" t="str">
        <f aca="false">IF(OR(AC282="",N(Z282)=0),"",AC282/Z282)</f>
        <v/>
      </c>
      <c r="AE282" s="25" t="str">
        <f aca="false">IF(OR(S282="",N(Z282)=0),"",IF($B282="Short",-1,1)*(S282-H282)*G282/Z282)</f>
        <v/>
      </c>
      <c r="AF282" s="25" t="str">
        <f aca="false">IF(OR(T282="",N(Z282)=0),"",IF($B282="Short",-1,1)*(T282-H282)*G282/Z282)</f>
        <v/>
      </c>
      <c r="AG282" s="21" t="str">
        <f aca="false">IF(U282&lt;&gt;"Open","",Y282*MAX(0,IF($B282="Short",-1,1)*(H282-IF(K282="",I282,K282))))</f>
        <v/>
      </c>
      <c r="AH282" s="26" t="str">
        <f aca="false">IF(U282&lt;&gt;"Closed","",DATE(YEAR(P282),MONTH(P282),1))</f>
        <v/>
      </c>
      <c r="AI282" s="19" t="str">
        <f aca="false">IF(U282&lt;&gt;"Closed","",COUNTIFS($U$7:$U$506,"Closed",$P$7:$P$506,"&lt;"&amp;P282)+COUNTIFS($U$7:U282,"Closed",$P$7:P282,P282))</f>
        <v/>
      </c>
    </row>
    <row r="283" customFormat="false" ht="15" hidden="false" customHeight="false" outlineLevel="0" collapsed="false">
      <c r="A283" s="13"/>
      <c r="B283" s="14"/>
      <c r="C283" s="14"/>
      <c r="D283" s="14"/>
      <c r="E283" s="15"/>
      <c r="F283" s="15"/>
      <c r="G283" s="16"/>
      <c r="H283" s="17"/>
      <c r="I283" s="17"/>
      <c r="J283" s="17"/>
      <c r="K283" s="17"/>
      <c r="L283" s="16"/>
      <c r="M283" s="17"/>
      <c r="N283" s="16"/>
      <c r="O283" s="17"/>
      <c r="P283" s="15"/>
      <c r="Q283" s="17"/>
      <c r="R283" s="17"/>
      <c r="S283" s="17"/>
      <c r="T283" s="17"/>
      <c r="U283" s="18" t="str">
        <f aca="false">IF(A283="","",IF(N(G283)-N(L283)-N(N283)&lt;0,"Check shares",IF(AND(P283&lt;&gt;"",Q283&lt;&gt;""),"Closed","Open")))</f>
        <v/>
      </c>
      <c r="V283" s="19" t="str">
        <f aca="false">IF(OR(F283="",P283=""),"",NETWORKDAYS(F283,P283,Lists!$F$5:$F$40)-1)</f>
        <v/>
      </c>
      <c r="W283" s="18" t="str">
        <f aca="false">IF(V283="","",IF(V283=0,"Same day","Overnight"))</f>
        <v/>
      </c>
      <c r="X283" s="18" t="str">
        <f aca="false">IF(OR(E283="",F283=""),"",IF(AND(E283&gt;=F283,OR(P283="",E283&lt;=P283)),"Yes","No"))</f>
        <v/>
      </c>
      <c r="Y283" s="20" t="str">
        <f aca="false">IF(A283="","",N(G283)-N(L283)-N(N283))</f>
        <v/>
      </c>
      <c r="Z283" s="21" t="str">
        <f aca="false">IF(OR(G283="",H283="",I283=""),"",ABS(H283-I283)*G283)</f>
        <v/>
      </c>
      <c r="AA283" s="22" t="str">
        <f aca="false">IF(OR(J283="",N(Z283)=0),"",ABS(J283-H283)/ABS(H283-I283))</f>
        <v/>
      </c>
      <c r="AB283" s="23" t="str">
        <f aca="false">IF(U283&lt;&gt;"Closed","",(N(L283)*N(M283)+N(N283)*N(O283)+Y283*Q283)/G283)</f>
        <v/>
      </c>
      <c r="AC283" s="24" t="str">
        <f aca="false">IF(U283&lt;&gt;"Closed","",IF($B283="Short",-1,1)*((N(M283)-H283)*N(L283)+(N(O283)-H283)*N(N283)+(Q283-H283)*Y283)-N(R283))</f>
        <v/>
      </c>
      <c r="AD283" s="25" t="str">
        <f aca="false">IF(OR(AC283="",N(Z283)=0),"",AC283/Z283)</f>
        <v/>
      </c>
      <c r="AE283" s="25" t="str">
        <f aca="false">IF(OR(S283="",N(Z283)=0),"",IF($B283="Short",-1,1)*(S283-H283)*G283/Z283)</f>
        <v/>
      </c>
      <c r="AF283" s="25" t="str">
        <f aca="false">IF(OR(T283="",N(Z283)=0),"",IF($B283="Short",-1,1)*(T283-H283)*G283/Z283)</f>
        <v/>
      </c>
      <c r="AG283" s="21" t="str">
        <f aca="false">IF(U283&lt;&gt;"Open","",Y283*MAX(0,IF($B283="Short",-1,1)*(H283-IF(K283="",I283,K283))))</f>
        <v/>
      </c>
      <c r="AH283" s="26" t="str">
        <f aca="false">IF(U283&lt;&gt;"Closed","",DATE(YEAR(P283),MONTH(P283),1))</f>
        <v/>
      </c>
      <c r="AI283" s="19" t="str">
        <f aca="false">IF(U283&lt;&gt;"Closed","",COUNTIFS($U$7:$U$506,"Closed",$P$7:$P$506,"&lt;"&amp;P283)+COUNTIFS($U$7:U283,"Closed",$P$7:P283,P283))</f>
        <v/>
      </c>
    </row>
    <row r="284" customFormat="false" ht="15" hidden="false" customHeight="false" outlineLevel="0" collapsed="false">
      <c r="A284" s="13"/>
      <c r="B284" s="14"/>
      <c r="C284" s="14"/>
      <c r="D284" s="14"/>
      <c r="E284" s="15"/>
      <c r="F284" s="15"/>
      <c r="G284" s="16"/>
      <c r="H284" s="17"/>
      <c r="I284" s="17"/>
      <c r="J284" s="17"/>
      <c r="K284" s="17"/>
      <c r="L284" s="16"/>
      <c r="M284" s="17"/>
      <c r="N284" s="16"/>
      <c r="O284" s="17"/>
      <c r="P284" s="15"/>
      <c r="Q284" s="17"/>
      <c r="R284" s="17"/>
      <c r="S284" s="17"/>
      <c r="T284" s="17"/>
      <c r="U284" s="18" t="str">
        <f aca="false">IF(A284="","",IF(N(G284)-N(L284)-N(N284)&lt;0,"Check shares",IF(AND(P284&lt;&gt;"",Q284&lt;&gt;""),"Closed","Open")))</f>
        <v/>
      </c>
      <c r="V284" s="19" t="str">
        <f aca="false">IF(OR(F284="",P284=""),"",NETWORKDAYS(F284,P284,Lists!$F$5:$F$40)-1)</f>
        <v/>
      </c>
      <c r="W284" s="18" t="str">
        <f aca="false">IF(V284="","",IF(V284=0,"Same day","Overnight"))</f>
        <v/>
      </c>
      <c r="X284" s="18" t="str">
        <f aca="false">IF(OR(E284="",F284=""),"",IF(AND(E284&gt;=F284,OR(P284="",E284&lt;=P284)),"Yes","No"))</f>
        <v/>
      </c>
      <c r="Y284" s="20" t="str">
        <f aca="false">IF(A284="","",N(G284)-N(L284)-N(N284))</f>
        <v/>
      </c>
      <c r="Z284" s="21" t="str">
        <f aca="false">IF(OR(G284="",H284="",I284=""),"",ABS(H284-I284)*G284)</f>
        <v/>
      </c>
      <c r="AA284" s="22" t="str">
        <f aca="false">IF(OR(J284="",N(Z284)=0),"",ABS(J284-H284)/ABS(H284-I284))</f>
        <v/>
      </c>
      <c r="AB284" s="23" t="str">
        <f aca="false">IF(U284&lt;&gt;"Closed","",(N(L284)*N(M284)+N(N284)*N(O284)+Y284*Q284)/G284)</f>
        <v/>
      </c>
      <c r="AC284" s="24" t="str">
        <f aca="false">IF(U284&lt;&gt;"Closed","",IF($B284="Short",-1,1)*((N(M284)-H284)*N(L284)+(N(O284)-H284)*N(N284)+(Q284-H284)*Y284)-N(R284))</f>
        <v/>
      </c>
      <c r="AD284" s="25" t="str">
        <f aca="false">IF(OR(AC284="",N(Z284)=0),"",AC284/Z284)</f>
        <v/>
      </c>
      <c r="AE284" s="25" t="str">
        <f aca="false">IF(OR(S284="",N(Z284)=0),"",IF($B284="Short",-1,1)*(S284-H284)*G284/Z284)</f>
        <v/>
      </c>
      <c r="AF284" s="25" t="str">
        <f aca="false">IF(OR(T284="",N(Z284)=0),"",IF($B284="Short",-1,1)*(T284-H284)*G284/Z284)</f>
        <v/>
      </c>
      <c r="AG284" s="21" t="str">
        <f aca="false">IF(U284&lt;&gt;"Open","",Y284*MAX(0,IF($B284="Short",-1,1)*(H284-IF(K284="",I284,K284))))</f>
        <v/>
      </c>
      <c r="AH284" s="26" t="str">
        <f aca="false">IF(U284&lt;&gt;"Closed","",DATE(YEAR(P284),MONTH(P284),1))</f>
        <v/>
      </c>
      <c r="AI284" s="19" t="str">
        <f aca="false">IF(U284&lt;&gt;"Closed","",COUNTIFS($U$7:$U$506,"Closed",$P$7:$P$506,"&lt;"&amp;P284)+COUNTIFS($U$7:U284,"Closed",$P$7:P284,P284))</f>
        <v/>
      </c>
    </row>
    <row r="285" customFormat="false" ht="15" hidden="false" customHeight="false" outlineLevel="0" collapsed="false">
      <c r="A285" s="13"/>
      <c r="B285" s="14"/>
      <c r="C285" s="14"/>
      <c r="D285" s="14"/>
      <c r="E285" s="15"/>
      <c r="F285" s="15"/>
      <c r="G285" s="16"/>
      <c r="H285" s="17"/>
      <c r="I285" s="17"/>
      <c r="J285" s="17"/>
      <c r="K285" s="17"/>
      <c r="L285" s="16"/>
      <c r="M285" s="17"/>
      <c r="N285" s="16"/>
      <c r="O285" s="17"/>
      <c r="P285" s="15"/>
      <c r="Q285" s="17"/>
      <c r="R285" s="17"/>
      <c r="S285" s="17"/>
      <c r="T285" s="17"/>
      <c r="U285" s="18" t="str">
        <f aca="false">IF(A285="","",IF(N(G285)-N(L285)-N(N285)&lt;0,"Check shares",IF(AND(P285&lt;&gt;"",Q285&lt;&gt;""),"Closed","Open")))</f>
        <v/>
      </c>
      <c r="V285" s="19" t="str">
        <f aca="false">IF(OR(F285="",P285=""),"",NETWORKDAYS(F285,P285,Lists!$F$5:$F$40)-1)</f>
        <v/>
      </c>
      <c r="W285" s="18" t="str">
        <f aca="false">IF(V285="","",IF(V285=0,"Same day","Overnight"))</f>
        <v/>
      </c>
      <c r="X285" s="18" t="str">
        <f aca="false">IF(OR(E285="",F285=""),"",IF(AND(E285&gt;=F285,OR(P285="",E285&lt;=P285)),"Yes","No"))</f>
        <v/>
      </c>
      <c r="Y285" s="20" t="str">
        <f aca="false">IF(A285="","",N(G285)-N(L285)-N(N285))</f>
        <v/>
      </c>
      <c r="Z285" s="21" t="str">
        <f aca="false">IF(OR(G285="",H285="",I285=""),"",ABS(H285-I285)*G285)</f>
        <v/>
      </c>
      <c r="AA285" s="22" t="str">
        <f aca="false">IF(OR(J285="",N(Z285)=0),"",ABS(J285-H285)/ABS(H285-I285))</f>
        <v/>
      </c>
      <c r="AB285" s="23" t="str">
        <f aca="false">IF(U285&lt;&gt;"Closed","",(N(L285)*N(M285)+N(N285)*N(O285)+Y285*Q285)/G285)</f>
        <v/>
      </c>
      <c r="AC285" s="24" t="str">
        <f aca="false">IF(U285&lt;&gt;"Closed","",IF($B285="Short",-1,1)*((N(M285)-H285)*N(L285)+(N(O285)-H285)*N(N285)+(Q285-H285)*Y285)-N(R285))</f>
        <v/>
      </c>
      <c r="AD285" s="25" t="str">
        <f aca="false">IF(OR(AC285="",N(Z285)=0),"",AC285/Z285)</f>
        <v/>
      </c>
      <c r="AE285" s="25" t="str">
        <f aca="false">IF(OR(S285="",N(Z285)=0),"",IF($B285="Short",-1,1)*(S285-H285)*G285/Z285)</f>
        <v/>
      </c>
      <c r="AF285" s="25" t="str">
        <f aca="false">IF(OR(T285="",N(Z285)=0),"",IF($B285="Short",-1,1)*(T285-H285)*G285/Z285)</f>
        <v/>
      </c>
      <c r="AG285" s="21" t="str">
        <f aca="false">IF(U285&lt;&gt;"Open","",Y285*MAX(0,IF($B285="Short",-1,1)*(H285-IF(K285="",I285,K285))))</f>
        <v/>
      </c>
      <c r="AH285" s="26" t="str">
        <f aca="false">IF(U285&lt;&gt;"Closed","",DATE(YEAR(P285),MONTH(P285),1))</f>
        <v/>
      </c>
      <c r="AI285" s="19" t="str">
        <f aca="false">IF(U285&lt;&gt;"Closed","",COUNTIFS($U$7:$U$506,"Closed",$P$7:$P$506,"&lt;"&amp;P285)+COUNTIFS($U$7:U285,"Closed",$P$7:P285,P285))</f>
        <v/>
      </c>
    </row>
    <row r="286" customFormat="false" ht="15" hidden="false" customHeight="false" outlineLevel="0" collapsed="false">
      <c r="A286" s="13"/>
      <c r="B286" s="14"/>
      <c r="C286" s="14"/>
      <c r="D286" s="14"/>
      <c r="E286" s="15"/>
      <c r="F286" s="15"/>
      <c r="G286" s="16"/>
      <c r="H286" s="17"/>
      <c r="I286" s="17"/>
      <c r="J286" s="17"/>
      <c r="K286" s="17"/>
      <c r="L286" s="16"/>
      <c r="M286" s="17"/>
      <c r="N286" s="16"/>
      <c r="O286" s="17"/>
      <c r="P286" s="15"/>
      <c r="Q286" s="17"/>
      <c r="R286" s="17"/>
      <c r="S286" s="17"/>
      <c r="T286" s="17"/>
      <c r="U286" s="18" t="str">
        <f aca="false">IF(A286="","",IF(N(G286)-N(L286)-N(N286)&lt;0,"Check shares",IF(AND(P286&lt;&gt;"",Q286&lt;&gt;""),"Closed","Open")))</f>
        <v/>
      </c>
      <c r="V286" s="19" t="str">
        <f aca="false">IF(OR(F286="",P286=""),"",NETWORKDAYS(F286,P286,Lists!$F$5:$F$40)-1)</f>
        <v/>
      </c>
      <c r="W286" s="18" t="str">
        <f aca="false">IF(V286="","",IF(V286=0,"Same day","Overnight"))</f>
        <v/>
      </c>
      <c r="X286" s="18" t="str">
        <f aca="false">IF(OR(E286="",F286=""),"",IF(AND(E286&gt;=F286,OR(P286="",E286&lt;=P286)),"Yes","No"))</f>
        <v/>
      </c>
      <c r="Y286" s="20" t="str">
        <f aca="false">IF(A286="","",N(G286)-N(L286)-N(N286))</f>
        <v/>
      </c>
      <c r="Z286" s="21" t="str">
        <f aca="false">IF(OR(G286="",H286="",I286=""),"",ABS(H286-I286)*G286)</f>
        <v/>
      </c>
      <c r="AA286" s="22" t="str">
        <f aca="false">IF(OR(J286="",N(Z286)=0),"",ABS(J286-H286)/ABS(H286-I286))</f>
        <v/>
      </c>
      <c r="AB286" s="23" t="str">
        <f aca="false">IF(U286&lt;&gt;"Closed","",(N(L286)*N(M286)+N(N286)*N(O286)+Y286*Q286)/G286)</f>
        <v/>
      </c>
      <c r="AC286" s="24" t="str">
        <f aca="false">IF(U286&lt;&gt;"Closed","",IF($B286="Short",-1,1)*((N(M286)-H286)*N(L286)+(N(O286)-H286)*N(N286)+(Q286-H286)*Y286)-N(R286))</f>
        <v/>
      </c>
      <c r="AD286" s="25" t="str">
        <f aca="false">IF(OR(AC286="",N(Z286)=0),"",AC286/Z286)</f>
        <v/>
      </c>
      <c r="AE286" s="25" t="str">
        <f aca="false">IF(OR(S286="",N(Z286)=0),"",IF($B286="Short",-1,1)*(S286-H286)*G286/Z286)</f>
        <v/>
      </c>
      <c r="AF286" s="25" t="str">
        <f aca="false">IF(OR(T286="",N(Z286)=0),"",IF($B286="Short",-1,1)*(T286-H286)*G286/Z286)</f>
        <v/>
      </c>
      <c r="AG286" s="21" t="str">
        <f aca="false">IF(U286&lt;&gt;"Open","",Y286*MAX(0,IF($B286="Short",-1,1)*(H286-IF(K286="",I286,K286))))</f>
        <v/>
      </c>
      <c r="AH286" s="26" t="str">
        <f aca="false">IF(U286&lt;&gt;"Closed","",DATE(YEAR(P286),MONTH(P286),1))</f>
        <v/>
      </c>
      <c r="AI286" s="19" t="str">
        <f aca="false">IF(U286&lt;&gt;"Closed","",COUNTIFS($U$7:$U$506,"Closed",$P$7:$P$506,"&lt;"&amp;P286)+COUNTIFS($U$7:U286,"Closed",$P$7:P286,P286))</f>
        <v/>
      </c>
    </row>
    <row r="287" customFormat="false" ht="15" hidden="false" customHeight="false" outlineLevel="0" collapsed="false">
      <c r="A287" s="13"/>
      <c r="B287" s="14"/>
      <c r="C287" s="14"/>
      <c r="D287" s="14"/>
      <c r="E287" s="15"/>
      <c r="F287" s="15"/>
      <c r="G287" s="16"/>
      <c r="H287" s="17"/>
      <c r="I287" s="17"/>
      <c r="J287" s="17"/>
      <c r="K287" s="17"/>
      <c r="L287" s="16"/>
      <c r="M287" s="17"/>
      <c r="N287" s="16"/>
      <c r="O287" s="17"/>
      <c r="P287" s="15"/>
      <c r="Q287" s="17"/>
      <c r="R287" s="17"/>
      <c r="S287" s="17"/>
      <c r="T287" s="17"/>
      <c r="U287" s="18" t="str">
        <f aca="false">IF(A287="","",IF(N(G287)-N(L287)-N(N287)&lt;0,"Check shares",IF(AND(P287&lt;&gt;"",Q287&lt;&gt;""),"Closed","Open")))</f>
        <v/>
      </c>
      <c r="V287" s="19" t="str">
        <f aca="false">IF(OR(F287="",P287=""),"",NETWORKDAYS(F287,P287,Lists!$F$5:$F$40)-1)</f>
        <v/>
      </c>
      <c r="W287" s="18" t="str">
        <f aca="false">IF(V287="","",IF(V287=0,"Same day","Overnight"))</f>
        <v/>
      </c>
      <c r="X287" s="18" t="str">
        <f aca="false">IF(OR(E287="",F287=""),"",IF(AND(E287&gt;=F287,OR(P287="",E287&lt;=P287)),"Yes","No"))</f>
        <v/>
      </c>
      <c r="Y287" s="20" t="str">
        <f aca="false">IF(A287="","",N(G287)-N(L287)-N(N287))</f>
        <v/>
      </c>
      <c r="Z287" s="21" t="str">
        <f aca="false">IF(OR(G287="",H287="",I287=""),"",ABS(H287-I287)*G287)</f>
        <v/>
      </c>
      <c r="AA287" s="22" t="str">
        <f aca="false">IF(OR(J287="",N(Z287)=0),"",ABS(J287-H287)/ABS(H287-I287))</f>
        <v/>
      </c>
      <c r="AB287" s="23" t="str">
        <f aca="false">IF(U287&lt;&gt;"Closed","",(N(L287)*N(M287)+N(N287)*N(O287)+Y287*Q287)/G287)</f>
        <v/>
      </c>
      <c r="AC287" s="24" t="str">
        <f aca="false">IF(U287&lt;&gt;"Closed","",IF($B287="Short",-1,1)*((N(M287)-H287)*N(L287)+(N(O287)-H287)*N(N287)+(Q287-H287)*Y287)-N(R287))</f>
        <v/>
      </c>
      <c r="AD287" s="25" t="str">
        <f aca="false">IF(OR(AC287="",N(Z287)=0),"",AC287/Z287)</f>
        <v/>
      </c>
      <c r="AE287" s="25" t="str">
        <f aca="false">IF(OR(S287="",N(Z287)=0),"",IF($B287="Short",-1,1)*(S287-H287)*G287/Z287)</f>
        <v/>
      </c>
      <c r="AF287" s="25" t="str">
        <f aca="false">IF(OR(T287="",N(Z287)=0),"",IF($B287="Short",-1,1)*(T287-H287)*G287/Z287)</f>
        <v/>
      </c>
      <c r="AG287" s="21" t="str">
        <f aca="false">IF(U287&lt;&gt;"Open","",Y287*MAX(0,IF($B287="Short",-1,1)*(H287-IF(K287="",I287,K287))))</f>
        <v/>
      </c>
      <c r="AH287" s="26" t="str">
        <f aca="false">IF(U287&lt;&gt;"Closed","",DATE(YEAR(P287),MONTH(P287),1))</f>
        <v/>
      </c>
      <c r="AI287" s="19" t="str">
        <f aca="false">IF(U287&lt;&gt;"Closed","",COUNTIFS($U$7:$U$506,"Closed",$P$7:$P$506,"&lt;"&amp;P287)+COUNTIFS($U$7:U287,"Closed",$P$7:P287,P287))</f>
        <v/>
      </c>
    </row>
    <row r="288" customFormat="false" ht="15" hidden="false" customHeight="false" outlineLevel="0" collapsed="false">
      <c r="A288" s="13"/>
      <c r="B288" s="14"/>
      <c r="C288" s="14"/>
      <c r="D288" s="14"/>
      <c r="E288" s="15"/>
      <c r="F288" s="15"/>
      <c r="G288" s="16"/>
      <c r="H288" s="17"/>
      <c r="I288" s="17"/>
      <c r="J288" s="17"/>
      <c r="K288" s="17"/>
      <c r="L288" s="16"/>
      <c r="M288" s="17"/>
      <c r="N288" s="16"/>
      <c r="O288" s="17"/>
      <c r="P288" s="15"/>
      <c r="Q288" s="17"/>
      <c r="R288" s="17"/>
      <c r="S288" s="17"/>
      <c r="T288" s="17"/>
      <c r="U288" s="18" t="str">
        <f aca="false">IF(A288="","",IF(N(G288)-N(L288)-N(N288)&lt;0,"Check shares",IF(AND(P288&lt;&gt;"",Q288&lt;&gt;""),"Closed","Open")))</f>
        <v/>
      </c>
      <c r="V288" s="19" t="str">
        <f aca="false">IF(OR(F288="",P288=""),"",NETWORKDAYS(F288,P288,Lists!$F$5:$F$40)-1)</f>
        <v/>
      </c>
      <c r="W288" s="18" t="str">
        <f aca="false">IF(V288="","",IF(V288=0,"Same day","Overnight"))</f>
        <v/>
      </c>
      <c r="X288" s="18" t="str">
        <f aca="false">IF(OR(E288="",F288=""),"",IF(AND(E288&gt;=F288,OR(P288="",E288&lt;=P288)),"Yes","No"))</f>
        <v/>
      </c>
      <c r="Y288" s="20" t="str">
        <f aca="false">IF(A288="","",N(G288)-N(L288)-N(N288))</f>
        <v/>
      </c>
      <c r="Z288" s="21" t="str">
        <f aca="false">IF(OR(G288="",H288="",I288=""),"",ABS(H288-I288)*G288)</f>
        <v/>
      </c>
      <c r="AA288" s="22" t="str">
        <f aca="false">IF(OR(J288="",N(Z288)=0),"",ABS(J288-H288)/ABS(H288-I288))</f>
        <v/>
      </c>
      <c r="AB288" s="23" t="str">
        <f aca="false">IF(U288&lt;&gt;"Closed","",(N(L288)*N(M288)+N(N288)*N(O288)+Y288*Q288)/G288)</f>
        <v/>
      </c>
      <c r="AC288" s="24" t="str">
        <f aca="false">IF(U288&lt;&gt;"Closed","",IF($B288="Short",-1,1)*((N(M288)-H288)*N(L288)+(N(O288)-H288)*N(N288)+(Q288-H288)*Y288)-N(R288))</f>
        <v/>
      </c>
      <c r="AD288" s="25" t="str">
        <f aca="false">IF(OR(AC288="",N(Z288)=0),"",AC288/Z288)</f>
        <v/>
      </c>
      <c r="AE288" s="25" t="str">
        <f aca="false">IF(OR(S288="",N(Z288)=0),"",IF($B288="Short",-1,1)*(S288-H288)*G288/Z288)</f>
        <v/>
      </c>
      <c r="AF288" s="25" t="str">
        <f aca="false">IF(OR(T288="",N(Z288)=0),"",IF($B288="Short",-1,1)*(T288-H288)*G288/Z288)</f>
        <v/>
      </c>
      <c r="AG288" s="21" t="str">
        <f aca="false">IF(U288&lt;&gt;"Open","",Y288*MAX(0,IF($B288="Short",-1,1)*(H288-IF(K288="",I288,K288))))</f>
        <v/>
      </c>
      <c r="AH288" s="26" t="str">
        <f aca="false">IF(U288&lt;&gt;"Closed","",DATE(YEAR(P288),MONTH(P288),1))</f>
        <v/>
      </c>
      <c r="AI288" s="19" t="str">
        <f aca="false">IF(U288&lt;&gt;"Closed","",COUNTIFS($U$7:$U$506,"Closed",$P$7:$P$506,"&lt;"&amp;P288)+COUNTIFS($U$7:U288,"Closed",$P$7:P288,P288))</f>
        <v/>
      </c>
    </row>
    <row r="289" customFormat="false" ht="15" hidden="false" customHeight="false" outlineLevel="0" collapsed="false">
      <c r="A289" s="13"/>
      <c r="B289" s="14"/>
      <c r="C289" s="14"/>
      <c r="D289" s="14"/>
      <c r="E289" s="15"/>
      <c r="F289" s="15"/>
      <c r="G289" s="16"/>
      <c r="H289" s="17"/>
      <c r="I289" s="17"/>
      <c r="J289" s="17"/>
      <c r="K289" s="17"/>
      <c r="L289" s="16"/>
      <c r="M289" s="17"/>
      <c r="N289" s="16"/>
      <c r="O289" s="17"/>
      <c r="P289" s="15"/>
      <c r="Q289" s="17"/>
      <c r="R289" s="17"/>
      <c r="S289" s="17"/>
      <c r="T289" s="17"/>
      <c r="U289" s="18" t="str">
        <f aca="false">IF(A289="","",IF(N(G289)-N(L289)-N(N289)&lt;0,"Check shares",IF(AND(P289&lt;&gt;"",Q289&lt;&gt;""),"Closed","Open")))</f>
        <v/>
      </c>
      <c r="V289" s="19" t="str">
        <f aca="false">IF(OR(F289="",P289=""),"",NETWORKDAYS(F289,P289,Lists!$F$5:$F$40)-1)</f>
        <v/>
      </c>
      <c r="W289" s="18" t="str">
        <f aca="false">IF(V289="","",IF(V289=0,"Same day","Overnight"))</f>
        <v/>
      </c>
      <c r="X289" s="18" t="str">
        <f aca="false">IF(OR(E289="",F289=""),"",IF(AND(E289&gt;=F289,OR(P289="",E289&lt;=P289)),"Yes","No"))</f>
        <v/>
      </c>
      <c r="Y289" s="20" t="str">
        <f aca="false">IF(A289="","",N(G289)-N(L289)-N(N289))</f>
        <v/>
      </c>
      <c r="Z289" s="21" t="str">
        <f aca="false">IF(OR(G289="",H289="",I289=""),"",ABS(H289-I289)*G289)</f>
        <v/>
      </c>
      <c r="AA289" s="22" t="str">
        <f aca="false">IF(OR(J289="",N(Z289)=0),"",ABS(J289-H289)/ABS(H289-I289))</f>
        <v/>
      </c>
      <c r="AB289" s="23" t="str">
        <f aca="false">IF(U289&lt;&gt;"Closed","",(N(L289)*N(M289)+N(N289)*N(O289)+Y289*Q289)/G289)</f>
        <v/>
      </c>
      <c r="AC289" s="24" t="str">
        <f aca="false">IF(U289&lt;&gt;"Closed","",IF($B289="Short",-1,1)*((N(M289)-H289)*N(L289)+(N(O289)-H289)*N(N289)+(Q289-H289)*Y289)-N(R289))</f>
        <v/>
      </c>
      <c r="AD289" s="25" t="str">
        <f aca="false">IF(OR(AC289="",N(Z289)=0),"",AC289/Z289)</f>
        <v/>
      </c>
      <c r="AE289" s="25" t="str">
        <f aca="false">IF(OR(S289="",N(Z289)=0),"",IF($B289="Short",-1,1)*(S289-H289)*G289/Z289)</f>
        <v/>
      </c>
      <c r="AF289" s="25" t="str">
        <f aca="false">IF(OR(T289="",N(Z289)=0),"",IF($B289="Short",-1,1)*(T289-H289)*G289/Z289)</f>
        <v/>
      </c>
      <c r="AG289" s="21" t="str">
        <f aca="false">IF(U289&lt;&gt;"Open","",Y289*MAX(0,IF($B289="Short",-1,1)*(H289-IF(K289="",I289,K289))))</f>
        <v/>
      </c>
      <c r="AH289" s="26" t="str">
        <f aca="false">IF(U289&lt;&gt;"Closed","",DATE(YEAR(P289),MONTH(P289),1))</f>
        <v/>
      </c>
      <c r="AI289" s="19" t="str">
        <f aca="false">IF(U289&lt;&gt;"Closed","",COUNTIFS($U$7:$U$506,"Closed",$P$7:$P$506,"&lt;"&amp;P289)+COUNTIFS($U$7:U289,"Closed",$P$7:P289,P289))</f>
        <v/>
      </c>
    </row>
    <row r="290" customFormat="false" ht="15" hidden="false" customHeight="false" outlineLevel="0" collapsed="false">
      <c r="A290" s="13"/>
      <c r="B290" s="14"/>
      <c r="C290" s="14"/>
      <c r="D290" s="14"/>
      <c r="E290" s="15"/>
      <c r="F290" s="15"/>
      <c r="G290" s="16"/>
      <c r="H290" s="17"/>
      <c r="I290" s="17"/>
      <c r="J290" s="17"/>
      <c r="K290" s="17"/>
      <c r="L290" s="16"/>
      <c r="M290" s="17"/>
      <c r="N290" s="16"/>
      <c r="O290" s="17"/>
      <c r="P290" s="15"/>
      <c r="Q290" s="17"/>
      <c r="R290" s="17"/>
      <c r="S290" s="17"/>
      <c r="T290" s="17"/>
      <c r="U290" s="18" t="str">
        <f aca="false">IF(A290="","",IF(N(G290)-N(L290)-N(N290)&lt;0,"Check shares",IF(AND(P290&lt;&gt;"",Q290&lt;&gt;""),"Closed","Open")))</f>
        <v/>
      </c>
      <c r="V290" s="19" t="str">
        <f aca="false">IF(OR(F290="",P290=""),"",NETWORKDAYS(F290,P290,Lists!$F$5:$F$40)-1)</f>
        <v/>
      </c>
      <c r="W290" s="18" t="str">
        <f aca="false">IF(V290="","",IF(V290=0,"Same day","Overnight"))</f>
        <v/>
      </c>
      <c r="X290" s="18" t="str">
        <f aca="false">IF(OR(E290="",F290=""),"",IF(AND(E290&gt;=F290,OR(P290="",E290&lt;=P290)),"Yes","No"))</f>
        <v/>
      </c>
      <c r="Y290" s="20" t="str">
        <f aca="false">IF(A290="","",N(G290)-N(L290)-N(N290))</f>
        <v/>
      </c>
      <c r="Z290" s="21" t="str">
        <f aca="false">IF(OR(G290="",H290="",I290=""),"",ABS(H290-I290)*G290)</f>
        <v/>
      </c>
      <c r="AA290" s="22" t="str">
        <f aca="false">IF(OR(J290="",N(Z290)=0),"",ABS(J290-H290)/ABS(H290-I290))</f>
        <v/>
      </c>
      <c r="AB290" s="23" t="str">
        <f aca="false">IF(U290&lt;&gt;"Closed","",(N(L290)*N(M290)+N(N290)*N(O290)+Y290*Q290)/G290)</f>
        <v/>
      </c>
      <c r="AC290" s="24" t="str">
        <f aca="false">IF(U290&lt;&gt;"Closed","",IF($B290="Short",-1,1)*((N(M290)-H290)*N(L290)+(N(O290)-H290)*N(N290)+(Q290-H290)*Y290)-N(R290))</f>
        <v/>
      </c>
      <c r="AD290" s="25" t="str">
        <f aca="false">IF(OR(AC290="",N(Z290)=0),"",AC290/Z290)</f>
        <v/>
      </c>
      <c r="AE290" s="25" t="str">
        <f aca="false">IF(OR(S290="",N(Z290)=0),"",IF($B290="Short",-1,1)*(S290-H290)*G290/Z290)</f>
        <v/>
      </c>
      <c r="AF290" s="25" t="str">
        <f aca="false">IF(OR(T290="",N(Z290)=0),"",IF($B290="Short",-1,1)*(T290-H290)*G290/Z290)</f>
        <v/>
      </c>
      <c r="AG290" s="21" t="str">
        <f aca="false">IF(U290&lt;&gt;"Open","",Y290*MAX(0,IF($B290="Short",-1,1)*(H290-IF(K290="",I290,K290))))</f>
        <v/>
      </c>
      <c r="AH290" s="26" t="str">
        <f aca="false">IF(U290&lt;&gt;"Closed","",DATE(YEAR(P290),MONTH(P290),1))</f>
        <v/>
      </c>
      <c r="AI290" s="19" t="str">
        <f aca="false">IF(U290&lt;&gt;"Closed","",COUNTIFS($U$7:$U$506,"Closed",$P$7:$P$506,"&lt;"&amp;P290)+COUNTIFS($U$7:U290,"Closed",$P$7:P290,P290))</f>
        <v/>
      </c>
    </row>
    <row r="291" customFormat="false" ht="15" hidden="false" customHeight="false" outlineLevel="0" collapsed="false">
      <c r="A291" s="13"/>
      <c r="B291" s="14"/>
      <c r="C291" s="14"/>
      <c r="D291" s="14"/>
      <c r="E291" s="15"/>
      <c r="F291" s="15"/>
      <c r="G291" s="16"/>
      <c r="H291" s="17"/>
      <c r="I291" s="17"/>
      <c r="J291" s="17"/>
      <c r="K291" s="17"/>
      <c r="L291" s="16"/>
      <c r="M291" s="17"/>
      <c r="N291" s="16"/>
      <c r="O291" s="17"/>
      <c r="P291" s="15"/>
      <c r="Q291" s="17"/>
      <c r="R291" s="17"/>
      <c r="S291" s="17"/>
      <c r="T291" s="17"/>
      <c r="U291" s="18" t="str">
        <f aca="false">IF(A291="","",IF(N(G291)-N(L291)-N(N291)&lt;0,"Check shares",IF(AND(P291&lt;&gt;"",Q291&lt;&gt;""),"Closed","Open")))</f>
        <v/>
      </c>
      <c r="V291" s="19" t="str">
        <f aca="false">IF(OR(F291="",P291=""),"",NETWORKDAYS(F291,P291,Lists!$F$5:$F$40)-1)</f>
        <v/>
      </c>
      <c r="W291" s="18" t="str">
        <f aca="false">IF(V291="","",IF(V291=0,"Same day","Overnight"))</f>
        <v/>
      </c>
      <c r="X291" s="18" t="str">
        <f aca="false">IF(OR(E291="",F291=""),"",IF(AND(E291&gt;=F291,OR(P291="",E291&lt;=P291)),"Yes","No"))</f>
        <v/>
      </c>
      <c r="Y291" s="20" t="str">
        <f aca="false">IF(A291="","",N(G291)-N(L291)-N(N291))</f>
        <v/>
      </c>
      <c r="Z291" s="21" t="str">
        <f aca="false">IF(OR(G291="",H291="",I291=""),"",ABS(H291-I291)*G291)</f>
        <v/>
      </c>
      <c r="AA291" s="22" t="str">
        <f aca="false">IF(OR(J291="",N(Z291)=0),"",ABS(J291-H291)/ABS(H291-I291))</f>
        <v/>
      </c>
      <c r="AB291" s="23" t="str">
        <f aca="false">IF(U291&lt;&gt;"Closed","",(N(L291)*N(M291)+N(N291)*N(O291)+Y291*Q291)/G291)</f>
        <v/>
      </c>
      <c r="AC291" s="24" t="str">
        <f aca="false">IF(U291&lt;&gt;"Closed","",IF($B291="Short",-1,1)*((N(M291)-H291)*N(L291)+(N(O291)-H291)*N(N291)+(Q291-H291)*Y291)-N(R291))</f>
        <v/>
      </c>
      <c r="AD291" s="25" t="str">
        <f aca="false">IF(OR(AC291="",N(Z291)=0),"",AC291/Z291)</f>
        <v/>
      </c>
      <c r="AE291" s="25" t="str">
        <f aca="false">IF(OR(S291="",N(Z291)=0),"",IF($B291="Short",-1,1)*(S291-H291)*G291/Z291)</f>
        <v/>
      </c>
      <c r="AF291" s="25" t="str">
        <f aca="false">IF(OR(T291="",N(Z291)=0),"",IF($B291="Short",-1,1)*(T291-H291)*G291/Z291)</f>
        <v/>
      </c>
      <c r="AG291" s="21" t="str">
        <f aca="false">IF(U291&lt;&gt;"Open","",Y291*MAX(0,IF($B291="Short",-1,1)*(H291-IF(K291="",I291,K291))))</f>
        <v/>
      </c>
      <c r="AH291" s="26" t="str">
        <f aca="false">IF(U291&lt;&gt;"Closed","",DATE(YEAR(P291),MONTH(P291),1))</f>
        <v/>
      </c>
      <c r="AI291" s="19" t="str">
        <f aca="false">IF(U291&lt;&gt;"Closed","",COUNTIFS($U$7:$U$506,"Closed",$P$7:$P$506,"&lt;"&amp;P291)+COUNTIFS($U$7:U291,"Closed",$P$7:P291,P291))</f>
        <v/>
      </c>
    </row>
    <row r="292" customFormat="false" ht="15" hidden="false" customHeight="false" outlineLevel="0" collapsed="false">
      <c r="A292" s="13"/>
      <c r="B292" s="14"/>
      <c r="C292" s="14"/>
      <c r="D292" s="14"/>
      <c r="E292" s="15"/>
      <c r="F292" s="15"/>
      <c r="G292" s="16"/>
      <c r="H292" s="17"/>
      <c r="I292" s="17"/>
      <c r="J292" s="17"/>
      <c r="K292" s="17"/>
      <c r="L292" s="16"/>
      <c r="M292" s="17"/>
      <c r="N292" s="16"/>
      <c r="O292" s="17"/>
      <c r="P292" s="15"/>
      <c r="Q292" s="17"/>
      <c r="R292" s="17"/>
      <c r="S292" s="17"/>
      <c r="T292" s="17"/>
      <c r="U292" s="18" t="str">
        <f aca="false">IF(A292="","",IF(N(G292)-N(L292)-N(N292)&lt;0,"Check shares",IF(AND(P292&lt;&gt;"",Q292&lt;&gt;""),"Closed","Open")))</f>
        <v/>
      </c>
      <c r="V292" s="19" t="str">
        <f aca="false">IF(OR(F292="",P292=""),"",NETWORKDAYS(F292,P292,Lists!$F$5:$F$40)-1)</f>
        <v/>
      </c>
      <c r="W292" s="18" t="str">
        <f aca="false">IF(V292="","",IF(V292=0,"Same day","Overnight"))</f>
        <v/>
      </c>
      <c r="X292" s="18" t="str">
        <f aca="false">IF(OR(E292="",F292=""),"",IF(AND(E292&gt;=F292,OR(P292="",E292&lt;=P292)),"Yes","No"))</f>
        <v/>
      </c>
      <c r="Y292" s="20" t="str">
        <f aca="false">IF(A292="","",N(G292)-N(L292)-N(N292))</f>
        <v/>
      </c>
      <c r="Z292" s="21" t="str">
        <f aca="false">IF(OR(G292="",H292="",I292=""),"",ABS(H292-I292)*G292)</f>
        <v/>
      </c>
      <c r="AA292" s="22" t="str">
        <f aca="false">IF(OR(J292="",N(Z292)=0),"",ABS(J292-H292)/ABS(H292-I292))</f>
        <v/>
      </c>
      <c r="AB292" s="23" t="str">
        <f aca="false">IF(U292&lt;&gt;"Closed","",(N(L292)*N(M292)+N(N292)*N(O292)+Y292*Q292)/G292)</f>
        <v/>
      </c>
      <c r="AC292" s="24" t="str">
        <f aca="false">IF(U292&lt;&gt;"Closed","",IF($B292="Short",-1,1)*((N(M292)-H292)*N(L292)+(N(O292)-H292)*N(N292)+(Q292-H292)*Y292)-N(R292))</f>
        <v/>
      </c>
      <c r="AD292" s="25" t="str">
        <f aca="false">IF(OR(AC292="",N(Z292)=0),"",AC292/Z292)</f>
        <v/>
      </c>
      <c r="AE292" s="25" t="str">
        <f aca="false">IF(OR(S292="",N(Z292)=0),"",IF($B292="Short",-1,1)*(S292-H292)*G292/Z292)</f>
        <v/>
      </c>
      <c r="AF292" s="25" t="str">
        <f aca="false">IF(OR(T292="",N(Z292)=0),"",IF($B292="Short",-1,1)*(T292-H292)*G292/Z292)</f>
        <v/>
      </c>
      <c r="AG292" s="21" t="str">
        <f aca="false">IF(U292&lt;&gt;"Open","",Y292*MAX(0,IF($B292="Short",-1,1)*(H292-IF(K292="",I292,K292))))</f>
        <v/>
      </c>
      <c r="AH292" s="26" t="str">
        <f aca="false">IF(U292&lt;&gt;"Closed","",DATE(YEAR(P292),MONTH(P292),1))</f>
        <v/>
      </c>
      <c r="AI292" s="19" t="str">
        <f aca="false">IF(U292&lt;&gt;"Closed","",COUNTIFS($U$7:$U$506,"Closed",$P$7:$P$506,"&lt;"&amp;P292)+COUNTIFS($U$7:U292,"Closed",$P$7:P292,P292))</f>
        <v/>
      </c>
    </row>
    <row r="293" customFormat="false" ht="15" hidden="false" customHeight="false" outlineLevel="0" collapsed="false">
      <c r="A293" s="13"/>
      <c r="B293" s="14"/>
      <c r="C293" s="14"/>
      <c r="D293" s="14"/>
      <c r="E293" s="15"/>
      <c r="F293" s="15"/>
      <c r="G293" s="16"/>
      <c r="H293" s="17"/>
      <c r="I293" s="17"/>
      <c r="J293" s="17"/>
      <c r="K293" s="17"/>
      <c r="L293" s="16"/>
      <c r="M293" s="17"/>
      <c r="N293" s="16"/>
      <c r="O293" s="17"/>
      <c r="P293" s="15"/>
      <c r="Q293" s="17"/>
      <c r="R293" s="17"/>
      <c r="S293" s="17"/>
      <c r="T293" s="17"/>
      <c r="U293" s="18" t="str">
        <f aca="false">IF(A293="","",IF(N(G293)-N(L293)-N(N293)&lt;0,"Check shares",IF(AND(P293&lt;&gt;"",Q293&lt;&gt;""),"Closed","Open")))</f>
        <v/>
      </c>
      <c r="V293" s="19" t="str">
        <f aca="false">IF(OR(F293="",P293=""),"",NETWORKDAYS(F293,P293,Lists!$F$5:$F$40)-1)</f>
        <v/>
      </c>
      <c r="W293" s="18" t="str">
        <f aca="false">IF(V293="","",IF(V293=0,"Same day","Overnight"))</f>
        <v/>
      </c>
      <c r="X293" s="18" t="str">
        <f aca="false">IF(OR(E293="",F293=""),"",IF(AND(E293&gt;=F293,OR(P293="",E293&lt;=P293)),"Yes","No"))</f>
        <v/>
      </c>
      <c r="Y293" s="20" t="str">
        <f aca="false">IF(A293="","",N(G293)-N(L293)-N(N293))</f>
        <v/>
      </c>
      <c r="Z293" s="21" t="str">
        <f aca="false">IF(OR(G293="",H293="",I293=""),"",ABS(H293-I293)*G293)</f>
        <v/>
      </c>
      <c r="AA293" s="22" t="str">
        <f aca="false">IF(OR(J293="",N(Z293)=0),"",ABS(J293-H293)/ABS(H293-I293))</f>
        <v/>
      </c>
      <c r="AB293" s="23" t="str">
        <f aca="false">IF(U293&lt;&gt;"Closed","",(N(L293)*N(M293)+N(N293)*N(O293)+Y293*Q293)/G293)</f>
        <v/>
      </c>
      <c r="AC293" s="24" t="str">
        <f aca="false">IF(U293&lt;&gt;"Closed","",IF($B293="Short",-1,1)*((N(M293)-H293)*N(L293)+(N(O293)-H293)*N(N293)+(Q293-H293)*Y293)-N(R293))</f>
        <v/>
      </c>
      <c r="AD293" s="25" t="str">
        <f aca="false">IF(OR(AC293="",N(Z293)=0),"",AC293/Z293)</f>
        <v/>
      </c>
      <c r="AE293" s="25" t="str">
        <f aca="false">IF(OR(S293="",N(Z293)=0),"",IF($B293="Short",-1,1)*(S293-H293)*G293/Z293)</f>
        <v/>
      </c>
      <c r="AF293" s="25" t="str">
        <f aca="false">IF(OR(T293="",N(Z293)=0),"",IF($B293="Short",-1,1)*(T293-H293)*G293/Z293)</f>
        <v/>
      </c>
      <c r="AG293" s="21" t="str">
        <f aca="false">IF(U293&lt;&gt;"Open","",Y293*MAX(0,IF($B293="Short",-1,1)*(H293-IF(K293="",I293,K293))))</f>
        <v/>
      </c>
      <c r="AH293" s="26" t="str">
        <f aca="false">IF(U293&lt;&gt;"Closed","",DATE(YEAR(P293),MONTH(P293),1))</f>
        <v/>
      </c>
      <c r="AI293" s="19" t="str">
        <f aca="false">IF(U293&lt;&gt;"Closed","",COUNTIFS($U$7:$U$506,"Closed",$P$7:$P$506,"&lt;"&amp;P293)+COUNTIFS($U$7:U293,"Closed",$P$7:P293,P293))</f>
        <v/>
      </c>
    </row>
    <row r="294" customFormat="false" ht="15" hidden="false" customHeight="false" outlineLevel="0" collapsed="false">
      <c r="A294" s="13"/>
      <c r="B294" s="14"/>
      <c r="C294" s="14"/>
      <c r="D294" s="14"/>
      <c r="E294" s="15"/>
      <c r="F294" s="15"/>
      <c r="G294" s="16"/>
      <c r="H294" s="17"/>
      <c r="I294" s="17"/>
      <c r="J294" s="17"/>
      <c r="K294" s="17"/>
      <c r="L294" s="16"/>
      <c r="M294" s="17"/>
      <c r="N294" s="16"/>
      <c r="O294" s="17"/>
      <c r="P294" s="15"/>
      <c r="Q294" s="17"/>
      <c r="R294" s="17"/>
      <c r="S294" s="17"/>
      <c r="T294" s="17"/>
      <c r="U294" s="18" t="str">
        <f aca="false">IF(A294="","",IF(N(G294)-N(L294)-N(N294)&lt;0,"Check shares",IF(AND(P294&lt;&gt;"",Q294&lt;&gt;""),"Closed","Open")))</f>
        <v/>
      </c>
      <c r="V294" s="19" t="str">
        <f aca="false">IF(OR(F294="",P294=""),"",NETWORKDAYS(F294,P294,Lists!$F$5:$F$40)-1)</f>
        <v/>
      </c>
      <c r="W294" s="18" t="str">
        <f aca="false">IF(V294="","",IF(V294=0,"Same day","Overnight"))</f>
        <v/>
      </c>
      <c r="X294" s="18" t="str">
        <f aca="false">IF(OR(E294="",F294=""),"",IF(AND(E294&gt;=F294,OR(P294="",E294&lt;=P294)),"Yes","No"))</f>
        <v/>
      </c>
      <c r="Y294" s="20" t="str">
        <f aca="false">IF(A294="","",N(G294)-N(L294)-N(N294))</f>
        <v/>
      </c>
      <c r="Z294" s="21" t="str">
        <f aca="false">IF(OR(G294="",H294="",I294=""),"",ABS(H294-I294)*G294)</f>
        <v/>
      </c>
      <c r="AA294" s="22" t="str">
        <f aca="false">IF(OR(J294="",N(Z294)=0),"",ABS(J294-H294)/ABS(H294-I294))</f>
        <v/>
      </c>
      <c r="AB294" s="23" t="str">
        <f aca="false">IF(U294&lt;&gt;"Closed","",(N(L294)*N(M294)+N(N294)*N(O294)+Y294*Q294)/G294)</f>
        <v/>
      </c>
      <c r="AC294" s="24" t="str">
        <f aca="false">IF(U294&lt;&gt;"Closed","",IF($B294="Short",-1,1)*((N(M294)-H294)*N(L294)+(N(O294)-H294)*N(N294)+(Q294-H294)*Y294)-N(R294))</f>
        <v/>
      </c>
      <c r="AD294" s="25" t="str">
        <f aca="false">IF(OR(AC294="",N(Z294)=0),"",AC294/Z294)</f>
        <v/>
      </c>
      <c r="AE294" s="25" t="str">
        <f aca="false">IF(OR(S294="",N(Z294)=0),"",IF($B294="Short",-1,1)*(S294-H294)*G294/Z294)</f>
        <v/>
      </c>
      <c r="AF294" s="25" t="str">
        <f aca="false">IF(OR(T294="",N(Z294)=0),"",IF($B294="Short",-1,1)*(T294-H294)*G294/Z294)</f>
        <v/>
      </c>
      <c r="AG294" s="21" t="str">
        <f aca="false">IF(U294&lt;&gt;"Open","",Y294*MAX(0,IF($B294="Short",-1,1)*(H294-IF(K294="",I294,K294))))</f>
        <v/>
      </c>
      <c r="AH294" s="26" t="str">
        <f aca="false">IF(U294&lt;&gt;"Closed","",DATE(YEAR(P294),MONTH(P294),1))</f>
        <v/>
      </c>
      <c r="AI294" s="19" t="str">
        <f aca="false">IF(U294&lt;&gt;"Closed","",COUNTIFS($U$7:$U$506,"Closed",$P$7:$P$506,"&lt;"&amp;P294)+COUNTIFS($U$7:U294,"Closed",$P$7:P294,P294))</f>
        <v/>
      </c>
    </row>
    <row r="295" customFormat="false" ht="15" hidden="false" customHeight="false" outlineLevel="0" collapsed="false">
      <c r="A295" s="13"/>
      <c r="B295" s="14"/>
      <c r="C295" s="14"/>
      <c r="D295" s="14"/>
      <c r="E295" s="15"/>
      <c r="F295" s="15"/>
      <c r="G295" s="16"/>
      <c r="H295" s="17"/>
      <c r="I295" s="17"/>
      <c r="J295" s="17"/>
      <c r="K295" s="17"/>
      <c r="L295" s="16"/>
      <c r="M295" s="17"/>
      <c r="N295" s="16"/>
      <c r="O295" s="17"/>
      <c r="P295" s="15"/>
      <c r="Q295" s="17"/>
      <c r="R295" s="17"/>
      <c r="S295" s="17"/>
      <c r="T295" s="17"/>
      <c r="U295" s="18" t="str">
        <f aca="false">IF(A295="","",IF(N(G295)-N(L295)-N(N295)&lt;0,"Check shares",IF(AND(P295&lt;&gt;"",Q295&lt;&gt;""),"Closed","Open")))</f>
        <v/>
      </c>
      <c r="V295" s="19" t="str">
        <f aca="false">IF(OR(F295="",P295=""),"",NETWORKDAYS(F295,P295,Lists!$F$5:$F$40)-1)</f>
        <v/>
      </c>
      <c r="W295" s="18" t="str">
        <f aca="false">IF(V295="","",IF(V295=0,"Same day","Overnight"))</f>
        <v/>
      </c>
      <c r="X295" s="18" t="str">
        <f aca="false">IF(OR(E295="",F295=""),"",IF(AND(E295&gt;=F295,OR(P295="",E295&lt;=P295)),"Yes","No"))</f>
        <v/>
      </c>
      <c r="Y295" s="20" t="str">
        <f aca="false">IF(A295="","",N(G295)-N(L295)-N(N295))</f>
        <v/>
      </c>
      <c r="Z295" s="21" t="str">
        <f aca="false">IF(OR(G295="",H295="",I295=""),"",ABS(H295-I295)*G295)</f>
        <v/>
      </c>
      <c r="AA295" s="22" t="str">
        <f aca="false">IF(OR(J295="",N(Z295)=0),"",ABS(J295-H295)/ABS(H295-I295))</f>
        <v/>
      </c>
      <c r="AB295" s="23" t="str">
        <f aca="false">IF(U295&lt;&gt;"Closed","",(N(L295)*N(M295)+N(N295)*N(O295)+Y295*Q295)/G295)</f>
        <v/>
      </c>
      <c r="AC295" s="24" t="str">
        <f aca="false">IF(U295&lt;&gt;"Closed","",IF($B295="Short",-1,1)*((N(M295)-H295)*N(L295)+(N(O295)-H295)*N(N295)+(Q295-H295)*Y295)-N(R295))</f>
        <v/>
      </c>
      <c r="AD295" s="25" t="str">
        <f aca="false">IF(OR(AC295="",N(Z295)=0),"",AC295/Z295)</f>
        <v/>
      </c>
      <c r="AE295" s="25" t="str">
        <f aca="false">IF(OR(S295="",N(Z295)=0),"",IF($B295="Short",-1,1)*(S295-H295)*G295/Z295)</f>
        <v/>
      </c>
      <c r="AF295" s="25" t="str">
        <f aca="false">IF(OR(T295="",N(Z295)=0),"",IF($B295="Short",-1,1)*(T295-H295)*G295/Z295)</f>
        <v/>
      </c>
      <c r="AG295" s="21" t="str">
        <f aca="false">IF(U295&lt;&gt;"Open","",Y295*MAX(0,IF($B295="Short",-1,1)*(H295-IF(K295="",I295,K295))))</f>
        <v/>
      </c>
      <c r="AH295" s="26" t="str">
        <f aca="false">IF(U295&lt;&gt;"Closed","",DATE(YEAR(P295),MONTH(P295),1))</f>
        <v/>
      </c>
      <c r="AI295" s="19" t="str">
        <f aca="false">IF(U295&lt;&gt;"Closed","",COUNTIFS($U$7:$U$506,"Closed",$P$7:$P$506,"&lt;"&amp;P295)+COUNTIFS($U$7:U295,"Closed",$P$7:P295,P295))</f>
        <v/>
      </c>
    </row>
    <row r="296" customFormat="false" ht="15" hidden="false" customHeight="false" outlineLevel="0" collapsed="false">
      <c r="A296" s="13"/>
      <c r="B296" s="14"/>
      <c r="C296" s="14"/>
      <c r="D296" s="14"/>
      <c r="E296" s="15"/>
      <c r="F296" s="15"/>
      <c r="G296" s="16"/>
      <c r="H296" s="17"/>
      <c r="I296" s="17"/>
      <c r="J296" s="17"/>
      <c r="K296" s="17"/>
      <c r="L296" s="16"/>
      <c r="M296" s="17"/>
      <c r="N296" s="16"/>
      <c r="O296" s="17"/>
      <c r="P296" s="15"/>
      <c r="Q296" s="17"/>
      <c r="R296" s="17"/>
      <c r="S296" s="17"/>
      <c r="T296" s="17"/>
      <c r="U296" s="18" t="str">
        <f aca="false">IF(A296="","",IF(N(G296)-N(L296)-N(N296)&lt;0,"Check shares",IF(AND(P296&lt;&gt;"",Q296&lt;&gt;""),"Closed","Open")))</f>
        <v/>
      </c>
      <c r="V296" s="19" t="str">
        <f aca="false">IF(OR(F296="",P296=""),"",NETWORKDAYS(F296,P296,Lists!$F$5:$F$40)-1)</f>
        <v/>
      </c>
      <c r="W296" s="18" t="str">
        <f aca="false">IF(V296="","",IF(V296=0,"Same day","Overnight"))</f>
        <v/>
      </c>
      <c r="X296" s="18" t="str">
        <f aca="false">IF(OR(E296="",F296=""),"",IF(AND(E296&gt;=F296,OR(P296="",E296&lt;=P296)),"Yes","No"))</f>
        <v/>
      </c>
      <c r="Y296" s="20" t="str">
        <f aca="false">IF(A296="","",N(G296)-N(L296)-N(N296))</f>
        <v/>
      </c>
      <c r="Z296" s="21" t="str">
        <f aca="false">IF(OR(G296="",H296="",I296=""),"",ABS(H296-I296)*G296)</f>
        <v/>
      </c>
      <c r="AA296" s="22" t="str">
        <f aca="false">IF(OR(J296="",N(Z296)=0),"",ABS(J296-H296)/ABS(H296-I296))</f>
        <v/>
      </c>
      <c r="AB296" s="23" t="str">
        <f aca="false">IF(U296&lt;&gt;"Closed","",(N(L296)*N(M296)+N(N296)*N(O296)+Y296*Q296)/G296)</f>
        <v/>
      </c>
      <c r="AC296" s="24" t="str">
        <f aca="false">IF(U296&lt;&gt;"Closed","",IF($B296="Short",-1,1)*((N(M296)-H296)*N(L296)+(N(O296)-H296)*N(N296)+(Q296-H296)*Y296)-N(R296))</f>
        <v/>
      </c>
      <c r="AD296" s="25" t="str">
        <f aca="false">IF(OR(AC296="",N(Z296)=0),"",AC296/Z296)</f>
        <v/>
      </c>
      <c r="AE296" s="25" t="str">
        <f aca="false">IF(OR(S296="",N(Z296)=0),"",IF($B296="Short",-1,1)*(S296-H296)*G296/Z296)</f>
        <v/>
      </c>
      <c r="AF296" s="25" t="str">
        <f aca="false">IF(OR(T296="",N(Z296)=0),"",IF($B296="Short",-1,1)*(T296-H296)*G296/Z296)</f>
        <v/>
      </c>
      <c r="AG296" s="21" t="str">
        <f aca="false">IF(U296&lt;&gt;"Open","",Y296*MAX(0,IF($B296="Short",-1,1)*(H296-IF(K296="",I296,K296))))</f>
        <v/>
      </c>
      <c r="AH296" s="26" t="str">
        <f aca="false">IF(U296&lt;&gt;"Closed","",DATE(YEAR(P296),MONTH(P296),1))</f>
        <v/>
      </c>
      <c r="AI296" s="19" t="str">
        <f aca="false">IF(U296&lt;&gt;"Closed","",COUNTIFS($U$7:$U$506,"Closed",$P$7:$P$506,"&lt;"&amp;P296)+COUNTIFS($U$7:U296,"Closed",$P$7:P296,P296))</f>
        <v/>
      </c>
    </row>
    <row r="297" customFormat="false" ht="15" hidden="false" customHeight="false" outlineLevel="0" collapsed="false">
      <c r="A297" s="13"/>
      <c r="B297" s="14"/>
      <c r="C297" s="14"/>
      <c r="D297" s="14"/>
      <c r="E297" s="15"/>
      <c r="F297" s="15"/>
      <c r="G297" s="16"/>
      <c r="H297" s="17"/>
      <c r="I297" s="17"/>
      <c r="J297" s="17"/>
      <c r="K297" s="17"/>
      <c r="L297" s="16"/>
      <c r="M297" s="17"/>
      <c r="N297" s="16"/>
      <c r="O297" s="17"/>
      <c r="P297" s="15"/>
      <c r="Q297" s="17"/>
      <c r="R297" s="17"/>
      <c r="S297" s="17"/>
      <c r="T297" s="17"/>
      <c r="U297" s="18" t="str">
        <f aca="false">IF(A297="","",IF(N(G297)-N(L297)-N(N297)&lt;0,"Check shares",IF(AND(P297&lt;&gt;"",Q297&lt;&gt;""),"Closed","Open")))</f>
        <v/>
      </c>
      <c r="V297" s="19" t="str">
        <f aca="false">IF(OR(F297="",P297=""),"",NETWORKDAYS(F297,P297,Lists!$F$5:$F$40)-1)</f>
        <v/>
      </c>
      <c r="W297" s="18" t="str">
        <f aca="false">IF(V297="","",IF(V297=0,"Same day","Overnight"))</f>
        <v/>
      </c>
      <c r="X297" s="18" t="str">
        <f aca="false">IF(OR(E297="",F297=""),"",IF(AND(E297&gt;=F297,OR(P297="",E297&lt;=P297)),"Yes","No"))</f>
        <v/>
      </c>
      <c r="Y297" s="20" t="str">
        <f aca="false">IF(A297="","",N(G297)-N(L297)-N(N297))</f>
        <v/>
      </c>
      <c r="Z297" s="21" t="str">
        <f aca="false">IF(OR(G297="",H297="",I297=""),"",ABS(H297-I297)*G297)</f>
        <v/>
      </c>
      <c r="AA297" s="22" t="str">
        <f aca="false">IF(OR(J297="",N(Z297)=0),"",ABS(J297-H297)/ABS(H297-I297))</f>
        <v/>
      </c>
      <c r="AB297" s="23" t="str">
        <f aca="false">IF(U297&lt;&gt;"Closed","",(N(L297)*N(M297)+N(N297)*N(O297)+Y297*Q297)/G297)</f>
        <v/>
      </c>
      <c r="AC297" s="24" t="str">
        <f aca="false">IF(U297&lt;&gt;"Closed","",IF($B297="Short",-1,1)*((N(M297)-H297)*N(L297)+(N(O297)-H297)*N(N297)+(Q297-H297)*Y297)-N(R297))</f>
        <v/>
      </c>
      <c r="AD297" s="25" t="str">
        <f aca="false">IF(OR(AC297="",N(Z297)=0),"",AC297/Z297)</f>
        <v/>
      </c>
      <c r="AE297" s="25" t="str">
        <f aca="false">IF(OR(S297="",N(Z297)=0),"",IF($B297="Short",-1,1)*(S297-H297)*G297/Z297)</f>
        <v/>
      </c>
      <c r="AF297" s="25" t="str">
        <f aca="false">IF(OR(T297="",N(Z297)=0),"",IF($B297="Short",-1,1)*(T297-H297)*G297/Z297)</f>
        <v/>
      </c>
      <c r="AG297" s="21" t="str">
        <f aca="false">IF(U297&lt;&gt;"Open","",Y297*MAX(0,IF($B297="Short",-1,1)*(H297-IF(K297="",I297,K297))))</f>
        <v/>
      </c>
      <c r="AH297" s="26" t="str">
        <f aca="false">IF(U297&lt;&gt;"Closed","",DATE(YEAR(P297),MONTH(P297),1))</f>
        <v/>
      </c>
      <c r="AI297" s="19" t="str">
        <f aca="false">IF(U297&lt;&gt;"Closed","",COUNTIFS($U$7:$U$506,"Closed",$P$7:$P$506,"&lt;"&amp;P297)+COUNTIFS($U$7:U297,"Closed",$P$7:P297,P297))</f>
        <v/>
      </c>
    </row>
    <row r="298" customFormat="false" ht="15" hidden="false" customHeight="false" outlineLevel="0" collapsed="false">
      <c r="A298" s="13"/>
      <c r="B298" s="14"/>
      <c r="C298" s="14"/>
      <c r="D298" s="14"/>
      <c r="E298" s="15"/>
      <c r="F298" s="15"/>
      <c r="G298" s="16"/>
      <c r="H298" s="17"/>
      <c r="I298" s="17"/>
      <c r="J298" s="17"/>
      <c r="K298" s="17"/>
      <c r="L298" s="16"/>
      <c r="M298" s="17"/>
      <c r="N298" s="16"/>
      <c r="O298" s="17"/>
      <c r="P298" s="15"/>
      <c r="Q298" s="17"/>
      <c r="R298" s="17"/>
      <c r="S298" s="17"/>
      <c r="T298" s="17"/>
      <c r="U298" s="18" t="str">
        <f aca="false">IF(A298="","",IF(N(G298)-N(L298)-N(N298)&lt;0,"Check shares",IF(AND(P298&lt;&gt;"",Q298&lt;&gt;""),"Closed","Open")))</f>
        <v/>
      </c>
      <c r="V298" s="19" t="str">
        <f aca="false">IF(OR(F298="",P298=""),"",NETWORKDAYS(F298,P298,Lists!$F$5:$F$40)-1)</f>
        <v/>
      </c>
      <c r="W298" s="18" t="str">
        <f aca="false">IF(V298="","",IF(V298=0,"Same day","Overnight"))</f>
        <v/>
      </c>
      <c r="X298" s="18" t="str">
        <f aca="false">IF(OR(E298="",F298=""),"",IF(AND(E298&gt;=F298,OR(P298="",E298&lt;=P298)),"Yes","No"))</f>
        <v/>
      </c>
      <c r="Y298" s="20" t="str">
        <f aca="false">IF(A298="","",N(G298)-N(L298)-N(N298))</f>
        <v/>
      </c>
      <c r="Z298" s="21" t="str">
        <f aca="false">IF(OR(G298="",H298="",I298=""),"",ABS(H298-I298)*G298)</f>
        <v/>
      </c>
      <c r="AA298" s="22" t="str">
        <f aca="false">IF(OR(J298="",N(Z298)=0),"",ABS(J298-H298)/ABS(H298-I298))</f>
        <v/>
      </c>
      <c r="AB298" s="23" t="str">
        <f aca="false">IF(U298&lt;&gt;"Closed","",(N(L298)*N(M298)+N(N298)*N(O298)+Y298*Q298)/G298)</f>
        <v/>
      </c>
      <c r="AC298" s="24" t="str">
        <f aca="false">IF(U298&lt;&gt;"Closed","",IF($B298="Short",-1,1)*((N(M298)-H298)*N(L298)+(N(O298)-H298)*N(N298)+(Q298-H298)*Y298)-N(R298))</f>
        <v/>
      </c>
      <c r="AD298" s="25" t="str">
        <f aca="false">IF(OR(AC298="",N(Z298)=0),"",AC298/Z298)</f>
        <v/>
      </c>
      <c r="AE298" s="25" t="str">
        <f aca="false">IF(OR(S298="",N(Z298)=0),"",IF($B298="Short",-1,1)*(S298-H298)*G298/Z298)</f>
        <v/>
      </c>
      <c r="AF298" s="25" t="str">
        <f aca="false">IF(OR(T298="",N(Z298)=0),"",IF($B298="Short",-1,1)*(T298-H298)*G298/Z298)</f>
        <v/>
      </c>
      <c r="AG298" s="21" t="str">
        <f aca="false">IF(U298&lt;&gt;"Open","",Y298*MAX(0,IF($B298="Short",-1,1)*(H298-IF(K298="",I298,K298))))</f>
        <v/>
      </c>
      <c r="AH298" s="26" t="str">
        <f aca="false">IF(U298&lt;&gt;"Closed","",DATE(YEAR(P298),MONTH(P298),1))</f>
        <v/>
      </c>
      <c r="AI298" s="19" t="str">
        <f aca="false">IF(U298&lt;&gt;"Closed","",COUNTIFS($U$7:$U$506,"Closed",$P$7:$P$506,"&lt;"&amp;P298)+COUNTIFS($U$7:U298,"Closed",$P$7:P298,P298))</f>
        <v/>
      </c>
    </row>
    <row r="299" customFormat="false" ht="15" hidden="false" customHeight="false" outlineLevel="0" collapsed="false">
      <c r="A299" s="13"/>
      <c r="B299" s="14"/>
      <c r="C299" s="14"/>
      <c r="D299" s="14"/>
      <c r="E299" s="15"/>
      <c r="F299" s="15"/>
      <c r="G299" s="16"/>
      <c r="H299" s="17"/>
      <c r="I299" s="17"/>
      <c r="J299" s="17"/>
      <c r="K299" s="17"/>
      <c r="L299" s="16"/>
      <c r="M299" s="17"/>
      <c r="N299" s="16"/>
      <c r="O299" s="17"/>
      <c r="P299" s="15"/>
      <c r="Q299" s="17"/>
      <c r="R299" s="17"/>
      <c r="S299" s="17"/>
      <c r="T299" s="17"/>
      <c r="U299" s="18" t="str">
        <f aca="false">IF(A299="","",IF(N(G299)-N(L299)-N(N299)&lt;0,"Check shares",IF(AND(P299&lt;&gt;"",Q299&lt;&gt;""),"Closed","Open")))</f>
        <v/>
      </c>
      <c r="V299" s="19" t="str">
        <f aca="false">IF(OR(F299="",P299=""),"",NETWORKDAYS(F299,P299,Lists!$F$5:$F$40)-1)</f>
        <v/>
      </c>
      <c r="W299" s="18" t="str">
        <f aca="false">IF(V299="","",IF(V299=0,"Same day","Overnight"))</f>
        <v/>
      </c>
      <c r="X299" s="18" t="str">
        <f aca="false">IF(OR(E299="",F299=""),"",IF(AND(E299&gt;=F299,OR(P299="",E299&lt;=P299)),"Yes","No"))</f>
        <v/>
      </c>
      <c r="Y299" s="20" t="str">
        <f aca="false">IF(A299="","",N(G299)-N(L299)-N(N299))</f>
        <v/>
      </c>
      <c r="Z299" s="21" t="str">
        <f aca="false">IF(OR(G299="",H299="",I299=""),"",ABS(H299-I299)*G299)</f>
        <v/>
      </c>
      <c r="AA299" s="22" t="str">
        <f aca="false">IF(OR(J299="",N(Z299)=0),"",ABS(J299-H299)/ABS(H299-I299))</f>
        <v/>
      </c>
      <c r="AB299" s="23" t="str">
        <f aca="false">IF(U299&lt;&gt;"Closed","",(N(L299)*N(M299)+N(N299)*N(O299)+Y299*Q299)/G299)</f>
        <v/>
      </c>
      <c r="AC299" s="24" t="str">
        <f aca="false">IF(U299&lt;&gt;"Closed","",IF($B299="Short",-1,1)*((N(M299)-H299)*N(L299)+(N(O299)-H299)*N(N299)+(Q299-H299)*Y299)-N(R299))</f>
        <v/>
      </c>
      <c r="AD299" s="25" t="str">
        <f aca="false">IF(OR(AC299="",N(Z299)=0),"",AC299/Z299)</f>
        <v/>
      </c>
      <c r="AE299" s="25" t="str">
        <f aca="false">IF(OR(S299="",N(Z299)=0),"",IF($B299="Short",-1,1)*(S299-H299)*G299/Z299)</f>
        <v/>
      </c>
      <c r="AF299" s="25" t="str">
        <f aca="false">IF(OR(T299="",N(Z299)=0),"",IF($B299="Short",-1,1)*(T299-H299)*G299/Z299)</f>
        <v/>
      </c>
      <c r="AG299" s="21" t="str">
        <f aca="false">IF(U299&lt;&gt;"Open","",Y299*MAX(0,IF($B299="Short",-1,1)*(H299-IF(K299="",I299,K299))))</f>
        <v/>
      </c>
      <c r="AH299" s="26" t="str">
        <f aca="false">IF(U299&lt;&gt;"Closed","",DATE(YEAR(P299),MONTH(P299),1))</f>
        <v/>
      </c>
      <c r="AI299" s="19" t="str">
        <f aca="false">IF(U299&lt;&gt;"Closed","",COUNTIFS($U$7:$U$506,"Closed",$P$7:$P$506,"&lt;"&amp;P299)+COUNTIFS($U$7:U299,"Closed",$P$7:P299,P299))</f>
        <v/>
      </c>
    </row>
    <row r="300" customFormat="false" ht="15" hidden="false" customHeight="false" outlineLevel="0" collapsed="false">
      <c r="A300" s="13"/>
      <c r="B300" s="14"/>
      <c r="C300" s="14"/>
      <c r="D300" s="14"/>
      <c r="E300" s="15"/>
      <c r="F300" s="15"/>
      <c r="G300" s="16"/>
      <c r="H300" s="17"/>
      <c r="I300" s="17"/>
      <c r="J300" s="17"/>
      <c r="K300" s="17"/>
      <c r="L300" s="16"/>
      <c r="M300" s="17"/>
      <c r="N300" s="16"/>
      <c r="O300" s="17"/>
      <c r="P300" s="15"/>
      <c r="Q300" s="17"/>
      <c r="R300" s="17"/>
      <c r="S300" s="17"/>
      <c r="T300" s="17"/>
      <c r="U300" s="18" t="str">
        <f aca="false">IF(A300="","",IF(N(G300)-N(L300)-N(N300)&lt;0,"Check shares",IF(AND(P300&lt;&gt;"",Q300&lt;&gt;""),"Closed","Open")))</f>
        <v/>
      </c>
      <c r="V300" s="19" t="str">
        <f aca="false">IF(OR(F300="",P300=""),"",NETWORKDAYS(F300,P300,Lists!$F$5:$F$40)-1)</f>
        <v/>
      </c>
      <c r="W300" s="18" t="str">
        <f aca="false">IF(V300="","",IF(V300=0,"Same day","Overnight"))</f>
        <v/>
      </c>
      <c r="X300" s="18" t="str">
        <f aca="false">IF(OR(E300="",F300=""),"",IF(AND(E300&gt;=F300,OR(P300="",E300&lt;=P300)),"Yes","No"))</f>
        <v/>
      </c>
      <c r="Y300" s="20" t="str">
        <f aca="false">IF(A300="","",N(G300)-N(L300)-N(N300))</f>
        <v/>
      </c>
      <c r="Z300" s="21" t="str">
        <f aca="false">IF(OR(G300="",H300="",I300=""),"",ABS(H300-I300)*G300)</f>
        <v/>
      </c>
      <c r="AA300" s="22" t="str">
        <f aca="false">IF(OR(J300="",N(Z300)=0),"",ABS(J300-H300)/ABS(H300-I300))</f>
        <v/>
      </c>
      <c r="AB300" s="23" t="str">
        <f aca="false">IF(U300&lt;&gt;"Closed","",(N(L300)*N(M300)+N(N300)*N(O300)+Y300*Q300)/G300)</f>
        <v/>
      </c>
      <c r="AC300" s="24" t="str">
        <f aca="false">IF(U300&lt;&gt;"Closed","",IF($B300="Short",-1,1)*((N(M300)-H300)*N(L300)+(N(O300)-H300)*N(N300)+(Q300-H300)*Y300)-N(R300))</f>
        <v/>
      </c>
      <c r="AD300" s="25" t="str">
        <f aca="false">IF(OR(AC300="",N(Z300)=0),"",AC300/Z300)</f>
        <v/>
      </c>
      <c r="AE300" s="25" t="str">
        <f aca="false">IF(OR(S300="",N(Z300)=0),"",IF($B300="Short",-1,1)*(S300-H300)*G300/Z300)</f>
        <v/>
      </c>
      <c r="AF300" s="25" t="str">
        <f aca="false">IF(OR(T300="",N(Z300)=0),"",IF($B300="Short",-1,1)*(T300-H300)*G300/Z300)</f>
        <v/>
      </c>
      <c r="AG300" s="21" t="str">
        <f aca="false">IF(U300&lt;&gt;"Open","",Y300*MAX(0,IF($B300="Short",-1,1)*(H300-IF(K300="",I300,K300))))</f>
        <v/>
      </c>
      <c r="AH300" s="26" t="str">
        <f aca="false">IF(U300&lt;&gt;"Closed","",DATE(YEAR(P300),MONTH(P300),1))</f>
        <v/>
      </c>
      <c r="AI300" s="19" t="str">
        <f aca="false">IF(U300&lt;&gt;"Closed","",COUNTIFS($U$7:$U$506,"Closed",$P$7:$P$506,"&lt;"&amp;P300)+COUNTIFS($U$7:U300,"Closed",$P$7:P300,P300))</f>
        <v/>
      </c>
    </row>
    <row r="301" customFormat="false" ht="15" hidden="false" customHeight="false" outlineLevel="0" collapsed="false">
      <c r="A301" s="13"/>
      <c r="B301" s="14"/>
      <c r="C301" s="14"/>
      <c r="D301" s="14"/>
      <c r="E301" s="15"/>
      <c r="F301" s="15"/>
      <c r="G301" s="16"/>
      <c r="H301" s="17"/>
      <c r="I301" s="17"/>
      <c r="J301" s="17"/>
      <c r="K301" s="17"/>
      <c r="L301" s="16"/>
      <c r="M301" s="17"/>
      <c r="N301" s="16"/>
      <c r="O301" s="17"/>
      <c r="P301" s="15"/>
      <c r="Q301" s="17"/>
      <c r="R301" s="17"/>
      <c r="S301" s="17"/>
      <c r="T301" s="17"/>
      <c r="U301" s="18" t="str">
        <f aca="false">IF(A301="","",IF(N(G301)-N(L301)-N(N301)&lt;0,"Check shares",IF(AND(P301&lt;&gt;"",Q301&lt;&gt;""),"Closed","Open")))</f>
        <v/>
      </c>
      <c r="V301" s="19" t="str">
        <f aca="false">IF(OR(F301="",P301=""),"",NETWORKDAYS(F301,P301,Lists!$F$5:$F$40)-1)</f>
        <v/>
      </c>
      <c r="W301" s="18" t="str">
        <f aca="false">IF(V301="","",IF(V301=0,"Same day","Overnight"))</f>
        <v/>
      </c>
      <c r="X301" s="18" t="str">
        <f aca="false">IF(OR(E301="",F301=""),"",IF(AND(E301&gt;=F301,OR(P301="",E301&lt;=P301)),"Yes","No"))</f>
        <v/>
      </c>
      <c r="Y301" s="20" t="str">
        <f aca="false">IF(A301="","",N(G301)-N(L301)-N(N301))</f>
        <v/>
      </c>
      <c r="Z301" s="21" t="str">
        <f aca="false">IF(OR(G301="",H301="",I301=""),"",ABS(H301-I301)*G301)</f>
        <v/>
      </c>
      <c r="AA301" s="22" t="str">
        <f aca="false">IF(OR(J301="",N(Z301)=0),"",ABS(J301-H301)/ABS(H301-I301))</f>
        <v/>
      </c>
      <c r="AB301" s="23" t="str">
        <f aca="false">IF(U301&lt;&gt;"Closed","",(N(L301)*N(M301)+N(N301)*N(O301)+Y301*Q301)/G301)</f>
        <v/>
      </c>
      <c r="AC301" s="24" t="str">
        <f aca="false">IF(U301&lt;&gt;"Closed","",IF($B301="Short",-1,1)*((N(M301)-H301)*N(L301)+(N(O301)-H301)*N(N301)+(Q301-H301)*Y301)-N(R301))</f>
        <v/>
      </c>
      <c r="AD301" s="25" t="str">
        <f aca="false">IF(OR(AC301="",N(Z301)=0),"",AC301/Z301)</f>
        <v/>
      </c>
      <c r="AE301" s="25" t="str">
        <f aca="false">IF(OR(S301="",N(Z301)=0),"",IF($B301="Short",-1,1)*(S301-H301)*G301/Z301)</f>
        <v/>
      </c>
      <c r="AF301" s="25" t="str">
        <f aca="false">IF(OR(T301="",N(Z301)=0),"",IF($B301="Short",-1,1)*(T301-H301)*G301/Z301)</f>
        <v/>
      </c>
      <c r="AG301" s="21" t="str">
        <f aca="false">IF(U301&lt;&gt;"Open","",Y301*MAX(0,IF($B301="Short",-1,1)*(H301-IF(K301="",I301,K301))))</f>
        <v/>
      </c>
      <c r="AH301" s="26" t="str">
        <f aca="false">IF(U301&lt;&gt;"Closed","",DATE(YEAR(P301),MONTH(P301),1))</f>
        <v/>
      </c>
      <c r="AI301" s="19" t="str">
        <f aca="false">IF(U301&lt;&gt;"Closed","",COUNTIFS($U$7:$U$506,"Closed",$P$7:$P$506,"&lt;"&amp;P301)+COUNTIFS($U$7:U301,"Closed",$P$7:P301,P301))</f>
        <v/>
      </c>
    </row>
    <row r="302" customFormat="false" ht="15" hidden="false" customHeight="false" outlineLevel="0" collapsed="false">
      <c r="A302" s="13"/>
      <c r="B302" s="14"/>
      <c r="C302" s="14"/>
      <c r="D302" s="14"/>
      <c r="E302" s="15"/>
      <c r="F302" s="15"/>
      <c r="G302" s="16"/>
      <c r="H302" s="17"/>
      <c r="I302" s="17"/>
      <c r="J302" s="17"/>
      <c r="K302" s="17"/>
      <c r="L302" s="16"/>
      <c r="M302" s="17"/>
      <c r="N302" s="16"/>
      <c r="O302" s="17"/>
      <c r="P302" s="15"/>
      <c r="Q302" s="17"/>
      <c r="R302" s="17"/>
      <c r="S302" s="17"/>
      <c r="T302" s="17"/>
      <c r="U302" s="18" t="str">
        <f aca="false">IF(A302="","",IF(N(G302)-N(L302)-N(N302)&lt;0,"Check shares",IF(AND(P302&lt;&gt;"",Q302&lt;&gt;""),"Closed","Open")))</f>
        <v/>
      </c>
      <c r="V302" s="19" t="str">
        <f aca="false">IF(OR(F302="",P302=""),"",NETWORKDAYS(F302,P302,Lists!$F$5:$F$40)-1)</f>
        <v/>
      </c>
      <c r="W302" s="18" t="str">
        <f aca="false">IF(V302="","",IF(V302=0,"Same day","Overnight"))</f>
        <v/>
      </c>
      <c r="X302" s="18" t="str">
        <f aca="false">IF(OR(E302="",F302=""),"",IF(AND(E302&gt;=F302,OR(P302="",E302&lt;=P302)),"Yes","No"))</f>
        <v/>
      </c>
      <c r="Y302" s="20" t="str">
        <f aca="false">IF(A302="","",N(G302)-N(L302)-N(N302))</f>
        <v/>
      </c>
      <c r="Z302" s="21" t="str">
        <f aca="false">IF(OR(G302="",H302="",I302=""),"",ABS(H302-I302)*G302)</f>
        <v/>
      </c>
      <c r="AA302" s="22" t="str">
        <f aca="false">IF(OR(J302="",N(Z302)=0),"",ABS(J302-H302)/ABS(H302-I302))</f>
        <v/>
      </c>
      <c r="AB302" s="23" t="str">
        <f aca="false">IF(U302&lt;&gt;"Closed","",(N(L302)*N(M302)+N(N302)*N(O302)+Y302*Q302)/G302)</f>
        <v/>
      </c>
      <c r="AC302" s="24" t="str">
        <f aca="false">IF(U302&lt;&gt;"Closed","",IF($B302="Short",-1,1)*((N(M302)-H302)*N(L302)+(N(O302)-H302)*N(N302)+(Q302-H302)*Y302)-N(R302))</f>
        <v/>
      </c>
      <c r="AD302" s="25" t="str">
        <f aca="false">IF(OR(AC302="",N(Z302)=0),"",AC302/Z302)</f>
        <v/>
      </c>
      <c r="AE302" s="25" t="str">
        <f aca="false">IF(OR(S302="",N(Z302)=0),"",IF($B302="Short",-1,1)*(S302-H302)*G302/Z302)</f>
        <v/>
      </c>
      <c r="AF302" s="25" t="str">
        <f aca="false">IF(OR(T302="",N(Z302)=0),"",IF($B302="Short",-1,1)*(T302-H302)*G302/Z302)</f>
        <v/>
      </c>
      <c r="AG302" s="21" t="str">
        <f aca="false">IF(U302&lt;&gt;"Open","",Y302*MAX(0,IF($B302="Short",-1,1)*(H302-IF(K302="",I302,K302))))</f>
        <v/>
      </c>
      <c r="AH302" s="26" t="str">
        <f aca="false">IF(U302&lt;&gt;"Closed","",DATE(YEAR(P302),MONTH(P302),1))</f>
        <v/>
      </c>
      <c r="AI302" s="19" t="str">
        <f aca="false">IF(U302&lt;&gt;"Closed","",COUNTIFS($U$7:$U$506,"Closed",$P$7:$P$506,"&lt;"&amp;P302)+COUNTIFS($U$7:U302,"Closed",$P$7:P302,P302))</f>
        <v/>
      </c>
    </row>
    <row r="303" customFormat="false" ht="15" hidden="false" customHeight="false" outlineLevel="0" collapsed="false">
      <c r="A303" s="13"/>
      <c r="B303" s="14"/>
      <c r="C303" s="14"/>
      <c r="D303" s="14"/>
      <c r="E303" s="15"/>
      <c r="F303" s="15"/>
      <c r="G303" s="16"/>
      <c r="H303" s="17"/>
      <c r="I303" s="17"/>
      <c r="J303" s="17"/>
      <c r="K303" s="17"/>
      <c r="L303" s="16"/>
      <c r="M303" s="17"/>
      <c r="N303" s="16"/>
      <c r="O303" s="17"/>
      <c r="P303" s="15"/>
      <c r="Q303" s="17"/>
      <c r="R303" s="17"/>
      <c r="S303" s="17"/>
      <c r="T303" s="17"/>
      <c r="U303" s="18" t="str">
        <f aca="false">IF(A303="","",IF(N(G303)-N(L303)-N(N303)&lt;0,"Check shares",IF(AND(P303&lt;&gt;"",Q303&lt;&gt;""),"Closed","Open")))</f>
        <v/>
      </c>
      <c r="V303" s="19" t="str">
        <f aca="false">IF(OR(F303="",P303=""),"",NETWORKDAYS(F303,P303,Lists!$F$5:$F$40)-1)</f>
        <v/>
      </c>
      <c r="W303" s="18" t="str">
        <f aca="false">IF(V303="","",IF(V303=0,"Same day","Overnight"))</f>
        <v/>
      </c>
      <c r="X303" s="18" t="str">
        <f aca="false">IF(OR(E303="",F303=""),"",IF(AND(E303&gt;=F303,OR(P303="",E303&lt;=P303)),"Yes","No"))</f>
        <v/>
      </c>
      <c r="Y303" s="20" t="str">
        <f aca="false">IF(A303="","",N(G303)-N(L303)-N(N303))</f>
        <v/>
      </c>
      <c r="Z303" s="21" t="str">
        <f aca="false">IF(OR(G303="",H303="",I303=""),"",ABS(H303-I303)*G303)</f>
        <v/>
      </c>
      <c r="AA303" s="22" t="str">
        <f aca="false">IF(OR(J303="",N(Z303)=0),"",ABS(J303-H303)/ABS(H303-I303))</f>
        <v/>
      </c>
      <c r="AB303" s="23" t="str">
        <f aca="false">IF(U303&lt;&gt;"Closed","",(N(L303)*N(M303)+N(N303)*N(O303)+Y303*Q303)/G303)</f>
        <v/>
      </c>
      <c r="AC303" s="24" t="str">
        <f aca="false">IF(U303&lt;&gt;"Closed","",IF($B303="Short",-1,1)*((N(M303)-H303)*N(L303)+(N(O303)-H303)*N(N303)+(Q303-H303)*Y303)-N(R303))</f>
        <v/>
      </c>
      <c r="AD303" s="25" t="str">
        <f aca="false">IF(OR(AC303="",N(Z303)=0),"",AC303/Z303)</f>
        <v/>
      </c>
      <c r="AE303" s="25" t="str">
        <f aca="false">IF(OR(S303="",N(Z303)=0),"",IF($B303="Short",-1,1)*(S303-H303)*G303/Z303)</f>
        <v/>
      </c>
      <c r="AF303" s="25" t="str">
        <f aca="false">IF(OR(T303="",N(Z303)=0),"",IF($B303="Short",-1,1)*(T303-H303)*G303/Z303)</f>
        <v/>
      </c>
      <c r="AG303" s="21" t="str">
        <f aca="false">IF(U303&lt;&gt;"Open","",Y303*MAX(0,IF($B303="Short",-1,1)*(H303-IF(K303="",I303,K303))))</f>
        <v/>
      </c>
      <c r="AH303" s="26" t="str">
        <f aca="false">IF(U303&lt;&gt;"Closed","",DATE(YEAR(P303),MONTH(P303),1))</f>
        <v/>
      </c>
      <c r="AI303" s="19" t="str">
        <f aca="false">IF(U303&lt;&gt;"Closed","",COUNTIFS($U$7:$U$506,"Closed",$P$7:$P$506,"&lt;"&amp;P303)+COUNTIFS($U$7:U303,"Closed",$P$7:P303,P303))</f>
        <v/>
      </c>
    </row>
    <row r="304" customFormat="false" ht="15" hidden="false" customHeight="false" outlineLevel="0" collapsed="false">
      <c r="A304" s="13"/>
      <c r="B304" s="14"/>
      <c r="C304" s="14"/>
      <c r="D304" s="14"/>
      <c r="E304" s="15"/>
      <c r="F304" s="15"/>
      <c r="G304" s="16"/>
      <c r="H304" s="17"/>
      <c r="I304" s="17"/>
      <c r="J304" s="17"/>
      <c r="K304" s="17"/>
      <c r="L304" s="16"/>
      <c r="M304" s="17"/>
      <c r="N304" s="16"/>
      <c r="O304" s="17"/>
      <c r="P304" s="15"/>
      <c r="Q304" s="17"/>
      <c r="R304" s="17"/>
      <c r="S304" s="17"/>
      <c r="T304" s="17"/>
      <c r="U304" s="18" t="str">
        <f aca="false">IF(A304="","",IF(N(G304)-N(L304)-N(N304)&lt;0,"Check shares",IF(AND(P304&lt;&gt;"",Q304&lt;&gt;""),"Closed","Open")))</f>
        <v/>
      </c>
      <c r="V304" s="19" t="str">
        <f aca="false">IF(OR(F304="",P304=""),"",NETWORKDAYS(F304,P304,Lists!$F$5:$F$40)-1)</f>
        <v/>
      </c>
      <c r="W304" s="18" t="str">
        <f aca="false">IF(V304="","",IF(V304=0,"Same day","Overnight"))</f>
        <v/>
      </c>
      <c r="X304" s="18" t="str">
        <f aca="false">IF(OR(E304="",F304=""),"",IF(AND(E304&gt;=F304,OR(P304="",E304&lt;=P304)),"Yes","No"))</f>
        <v/>
      </c>
      <c r="Y304" s="20" t="str">
        <f aca="false">IF(A304="","",N(G304)-N(L304)-N(N304))</f>
        <v/>
      </c>
      <c r="Z304" s="21" t="str">
        <f aca="false">IF(OR(G304="",H304="",I304=""),"",ABS(H304-I304)*G304)</f>
        <v/>
      </c>
      <c r="AA304" s="22" t="str">
        <f aca="false">IF(OR(J304="",N(Z304)=0),"",ABS(J304-H304)/ABS(H304-I304))</f>
        <v/>
      </c>
      <c r="AB304" s="23" t="str">
        <f aca="false">IF(U304&lt;&gt;"Closed","",(N(L304)*N(M304)+N(N304)*N(O304)+Y304*Q304)/G304)</f>
        <v/>
      </c>
      <c r="AC304" s="24" t="str">
        <f aca="false">IF(U304&lt;&gt;"Closed","",IF($B304="Short",-1,1)*((N(M304)-H304)*N(L304)+(N(O304)-H304)*N(N304)+(Q304-H304)*Y304)-N(R304))</f>
        <v/>
      </c>
      <c r="AD304" s="25" t="str">
        <f aca="false">IF(OR(AC304="",N(Z304)=0),"",AC304/Z304)</f>
        <v/>
      </c>
      <c r="AE304" s="25" t="str">
        <f aca="false">IF(OR(S304="",N(Z304)=0),"",IF($B304="Short",-1,1)*(S304-H304)*G304/Z304)</f>
        <v/>
      </c>
      <c r="AF304" s="25" t="str">
        <f aca="false">IF(OR(T304="",N(Z304)=0),"",IF($B304="Short",-1,1)*(T304-H304)*G304/Z304)</f>
        <v/>
      </c>
      <c r="AG304" s="21" t="str">
        <f aca="false">IF(U304&lt;&gt;"Open","",Y304*MAX(0,IF($B304="Short",-1,1)*(H304-IF(K304="",I304,K304))))</f>
        <v/>
      </c>
      <c r="AH304" s="26" t="str">
        <f aca="false">IF(U304&lt;&gt;"Closed","",DATE(YEAR(P304),MONTH(P304),1))</f>
        <v/>
      </c>
      <c r="AI304" s="19" t="str">
        <f aca="false">IF(U304&lt;&gt;"Closed","",COUNTIFS($U$7:$U$506,"Closed",$P$7:$P$506,"&lt;"&amp;P304)+COUNTIFS($U$7:U304,"Closed",$P$7:P304,P304))</f>
        <v/>
      </c>
    </row>
    <row r="305" customFormat="false" ht="15" hidden="false" customHeight="false" outlineLevel="0" collapsed="false">
      <c r="A305" s="13"/>
      <c r="B305" s="14"/>
      <c r="C305" s="14"/>
      <c r="D305" s="14"/>
      <c r="E305" s="15"/>
      <c r="F305" s="15"/>
      <c r="G305" s="16"/>
      <c r="H305" s="17"/>
      <c r="I305" s="17"/>
      <c r="J305" s="17"/>
      <c r="K305" s="17"/>
      <c r="L305" s="16"/>
      <c r="M305" s="17"/>
      <c r="N305" s="16"/>
      <c r="O305" s="17"/>
      <c r="P305" s="15"/>
      <c r="Q305" s="17"/>
      <c r="R305" s="17"/>
      <c r="S305" s="17"/>
      <c r="T305" s="17"/>
      <c r="U305" s="18" t="str">
        <f aca="false">IF(A305="","",IF(N(G305)-N(L305)-N(N305)&lt;0,"Check shares",IF(AND(P305&lt;&gt;"",Q305&lt;&gt;""),"Closed","Open")))</f>
        <v/>
      </c>
      <c r="V305" s="19" t="str">
        <f aca="false">IF(OR(F305="",P305=""),"",NETWORKDAYS(F305,P305,Lists!$F$5:$F$40)-1)</f>
        <v/>
      </c>
      <c r="W305" s="18" t="str">
        <f aca="false">IF(V305="","",IF(V305=0,"Same day","Overnight"))</f>
        <v/>
      </c>
      <c r="X305" s="18" t="str">
        <f aca="false">IF(OR(E305="",F305=""),"",IF(AND(E305&gt;=F305,OR(P305="",E305&lt;=P305)),"Yes","No"))</f>
        <v/>
      </c>
      <c r="Y305" s="20" t="str">
        <f aca="false">IF(A305="","",N(G305)-N(L305)-N(N305))</f>
        <v/>
      </c>
      <c r="Z305" s="21" t="str">
        <f aca="false">IF(OR(G305="",H305="",I305=""),"",ABS(H305-I305)*G305)</f>
        <v/>
      </c>
      <c r="AA305" s="22" t="str">
        <f aca="false">IF(OR(J305="",N(Z305)=0),"",ABS(J305-H305)/ABS(H305-I305))</f>
        <v/>
      </c>
      <c r="AB305" s="23" t="str">
        <f aca="false">IF(U305&lt;&gt;"Closed","",(N(L305)*N(M305)+N(N305)*N(O305)+Y305*Q305)/G305)</f>
        <v/>
      </c>
      <c r="AC305" s="24" t="str">
        <f aca="false">IF(U305&lt;&gt;"Closed","",IF($B305="Short",-1,1)*((N(M305)-H305)*N(L305)+(N(O305)-H305)*N(N305)+(Q305-H305)*Y305)-N(R305))</f>
        <v/>
      </c>
      <c r="AD305" s="25" t="str">
        <f aca="false">IF(OR(AC305="",N(Z305)=0),"",AC305/Z305)</f>
        <v/>
      </c>
      <c r="AE305" s="25" t="str">
        <f aca="false">IF(OR(S305="",N(Z305)=0),"",IF($B305="Short",-1,1)*(S305-H305)*G305/Z305)</f>
        <v/>
      </c>
      <c r="AF305" s="25" t="str">
        <f aca="false">IF(OR(T305="",N(Z305)=0),"",IF($B305="Short",-1,1)*(T305-H305)*G305/Z305)</f>
        <v/>
      </c>
      <c r="AG305" s="21" t="str">
        <f aca="false">IF(U305&lt;&gt;"Open","",Y305*MAX(0,IF($B305="Short",-1,1)*(H305-IF(K305="",I305,K305))))</f>
        <v/>
      </c>
      <c r="AH305" s="26" t="str">
        <f aca="false">IF(U305&lt;&gt;"Closed","",DATE(YEAR(P305),MONTH(P305),1))</f>
        <v/>
      </c>
      <c r="AI305" s="19" t="str">
        <f aca="false">IF(U305&lt;&gt;"Closed","",COUNTIFS($U$7:$U$506,"Closed",$P$7:$P$506,"&lt;"&amp;P305)+COUNTIFS($U$7:U305,"Closed",$P$7:P305,P305))</f>
        <v/>
      </c>
    </row>
    <row r="306" customFormat="false" ht="15" hidden="false" customHeight="false" outlineLevel="0" collapsed="false">
      <c r="A306" s="13"/>
      <c r="B306" s="14"/>
      <c r="C306" s="14"/>
      <c r="D306" s="14"/>
      <c r="E306" s="15"/>
      <c r="F306" s="15"/>
      <c r="G306" s="16"/>
      <c r="H306" s="17"/>
      <c r="I306" s="17"/>
      <c r="J306" s="17"/>
      <c r="K306" s="17"/>
      <c r="L306" s="16"/>
      <c r="M306" s="17"/>
      <c r="N306" s="16"/>
      <c r="O306" s="17"/>
      <c r="P306" s="15"/>
      <c r="Q306" s="17"/>
      <c r="R306" s="17"/>
      <c r="S306" s="17"/>
      <c r="T306" s="17"/>
      <c r="U306" s="18" t="str">
        <f aca="false">IF(A306="","",IF(N(G306)-N(L306)-N(N306)&lt;0,"Check shares",IF(AND(P306&lt;&gt;"",Q306&lt;&gt;""),"Closed","Open")))</f>
        <v/>
      </c>
      <c r="V306" s="19" t="str">
        <f aca="false">IF(OR(F306="",P306=""),"",NETWORKDAYS(F306,P306,Lists!$F$5:$F$40)-1)</f>
        <v/>
      </c>
      <c r="W306" s="18" t="str">
        <f aca="false">IF(V306="","",IF(V306=0,"Same day","Overnight"))</f>
        <v/>
      </c>
      <c r="X306" s="18" t="str">
        <f aca="false">IF(OR(E306="",F306=""),"",IF(AND(E306&gt;=F306,OR(P306="",E306&lt;=P306)),"Yes","No"))</f>
        <v/>
      </c>
      <c r="Y306" s="20" t="str">
        <f aca="false">IF(A306="","",N(G306)-N(L306)-N(N306))</f>
        <v/>
      </c>
      <c r="Z306" s="21" t="str">
        <f aca="false">IF(OR(G306="",H306="",I306=""),"",ABS(H306-I306)*G306)</f>
        <v/>
      </c>
      <c r="AA306" s="22" t="str">
        <f aca="false">IF(OR(J306="",N(Z306)=0),"",ABS(J306-H306)/ABS(H306-I306))</f>
        <v/>
      </c>
      <c r="AB306" s="23" t="str">
        <f aca="false">IF(U306&lt;&gt;"Closed","",(N(L306)*N(M306)+N(N306)*N(O306)+Y306*Q306)/G306)</f>
        <v/>
      </c>
      <c r="AC306" s="24" t="str">
        <f aca="false">IF(U306&lt;&gt;"Closed","",IF($B306="Short",-1,1)*((N(M306)-H306)*N(L306)+(N(O306)-H306)*N(N306)+(Q306-H306)*Y306)-N(R306))</f>
        <v/>
      </c>
      <c r="AD306" s="25" t="str">
        <f aca="false">IF(OR(AC306="",N(Z306)=0),"",AC306/Z306)</f>
        <v/>
      </c>
      <c r="AE306" s="25" t="str">
        <f aca="false">IF(OR(S306="",N(Z306)=0),"",IF($B306="Short",-1,1)*(S306-H306)*G306/Z306)</f>
        <v/>
      </c>
      <c r="AF306" s="25" t="str">
        <f aca="false">IF(OR(T306="",N(Z306)=0),"",IF($B306="Short",-1,1)*(T306-H306)*G306/Z306)</f>
        <v/>
      </c>
      <c r="AG306" s="21" t="str">
        <f aca="false">IF(U306&lt;&gt;"Open","",Y306*MAX(0,IF($B306="Short",-1,1)*(H306-IF(K306="",I306,K306))))</f>
        <v/>
      </c>
      <c r="AH306" s="26" t="str">
        <f aca="false">IF(U306&lt;&gt;"Closed","",DATE(YEAR(P306),MONTH(P306),1))</f>
        <v/>
      </c>
      <c r="AI306" s="19" t="str">
        <f aca="false">IF(U306&lt;&gt;"Closed","",COUNTIFS($U$7:$U$506,"Closed",$P$7:$P$506,"&lt;"&amp;P306)+COUNTIFS($U$7:U306,"Closed",$P$7:P306,P306))</f>
        <v/>
      </c>
    </row>
    <row r="307" customFormat="false" ht="15" hidden="false" customHeight="false" outlineLevel="0" collapsed="false">
      <c r="A307" s="13"/>
      <c r="B307" s="14"/>
      <c r="C307" s="14"/>
      <c r="D307" s="14"/>
      <c r="E307" s="15"/>
      <c r="F307" s="15"/>
      <c r="G307" s="16"/>
      <c r="H307" s="17"/>
      <c r="I307" s="17"/>
      <c r="J307" s="17"/>
      <c r="K307" s="17"/>
      <c r="L307" s="16"/>
      <c r="M307" s="17"/>
      <c r="N307" s="16"/>
      <c r="O307" s="17"/>
      <c r="P307" s="15"/>
      <c r="Q307" s="17"/>
      <c r="R307" s="17"/>
      <c r="S307" s="17"/>
      <c r="T307" s="17"/>
      <c r="U307" s="18" t="str">
        <f aca="false">IF(A307="","",IF(N(G307)-N(L307)-N(N307)&lt;0,"Check shares",IF(AND(P307&lt;&gt;"",Q307&lt;&gt;""),"Closed","Open")))</f>
        <v/>
      </c>
      <c r="V307" s="19" t="str">
        <f aca="false">IF(OR(F307="",P307=""),"",NETWORKDAYS(F307,P307,Lists!$F$5:$F$40)-1)</f>
        <v/>
      </c>
      <c r="W307" s="18" t="str">
        <f aca="false">IF(V307="","",IF(V307=0,"Same day","Overnight"))</f>
        <v/>
      </c>
      <c r="X307" s="18" t="str">
        <f aca="false">IF(OR(E307="",F307=""),"",IF(AND(E307&gt;=F307,OR(P307="",E307&lt;=P307)),"Yes","No"))</f>
        <v/>
      </c>
      <c r="Y307" s="20" t="str">
        <f aca="false">IF(A307="","",N(G307)-N(L307)-N(N307))</f>
        <v/>
      </c>
      <c r="Z307" s="21" t="str">
        <f aca="false">IF(OR(G307="",H307="",I307=""),"",ABS(H307-I307)*G307)</f>
        <v/>
      </c>
      <c r="AA307" s="22" t="str">
        <f aca="false">IF(OR(J307="",N(Z307)=0),"",ABS(J307-H307)/ABS(H307-I307))</f>
        <v/>
      </c>
      <c r="AB307" s="23" t="str">
        <f aca="false">IF(U307&lt;&gt;"Closed","",(N(L307)*N(M307)+N(N307)*N(O307)+Y307*Q307)/G307)</f>
        <v/>
      </c>
      <c r="AC307" s="24" t="str">
        <f aca="false">IF(U307&lt;&gt;"Closed","",IF($B307="Short",-1,1)*((N(M307)-H307)*N(L307)+(N(O307)-H307)*N(N307)+(Q307-H307)*Y307)-N(R307))</f>
        <v/>
      </c>
      <c r="AD307" s="25" t="str">
        <f aca="false">IF(OR(AC307="",N(Z307)=0),"",AC307/Z307)</f>
        <v/>
      </c>
      <c r="AE307" s="25" t="str">
        <f aca="false">IF(OR(S307="",N(Z307)=0),"",IF($B307="Short",-1,1)*(S307-H307)*G307/Z307)</f>
        <v/>
      </c>
      <c r="AF307" s="25" t="str">
        <f aca="false">IF(OR(T307="",N(Z307)=0),"",IF($B307="Short",-1,1)*(T307-H307)*G307/Z307)</f>
        <v/>
      </c>
      <c r="AG307" s="21" t="str">
        <f aca="false">IF(U307&lt;&gt;"Open","",Y307*MAX(0,IF($B307="Short",-1,1)*(H307-IF(K307="",I307,K307))))</f>
        <v/>
      </c>
      <c r="AH307" s="26" t="str">
        <f aca="false">IF(U307&lt;&gt;"Closed","",DATE(YEAR(P307),MONTH(P307),1))</f>
        <v/>
      </c>
      <c r="AI307" s="19" t="str">
        <f aca="false">IF(U307&lt;&gt;"Closed","",COUNTIFS($U$7:$U$506,"Closed",$P$7:$P$506,"&lt;"&amp;P307)+COUNTIFS($U$7:U307,"Closed",$P$7:P307,P307))</f>
        <v/>
      </c>
    </row>
    <row r="308" customFormat="false" ht="15" hidden="false" customHeight="false" outlineLevel="0" collapsed="false">
      <c r="A308" s="13"/>
      <c r="B308" s="14"/>
      <c r="C308" s="14"/>
      <c r="D308" s="14"/>
      <c r="E308" s="15"/>
      <c r="F308" s="15"/>
      <c r="G308" s="16"/>
      <c r="H308" s="17"/>
      <c r="I308" s="17"/>
      <c r="J308" s="17"/>
      <c r="K308" s="17"/>
      <c r="L308" s="16"/>
      <c r="M308" s="17"/>
      <c r="N308" s="16"/>
      <c r="O308" s="17"/>
      <c r="P308" s="15"/>
      <c r="Q308" s="17"/>
      <c r="R308" s="17"/>
      <c r="S308" s="17"/>
      <c r="T308" s="17"/>
      <c r="U308" s="18" t="str">
        <f aca="false">IF(A308="","",IF(N(G308)-N(L308)-N(N308)&lt;0,"Check shares",IF(AND(P308&lt;&gt;"",Q308&lt;&gt;""),"Closed","Open")))</f>
        <v/>
      </c>
      <c r="V308" s="19" t="str">
        <f aca="false">IF(OR(F308="",P308=""),"",NETWORKDAYS(F308,P308,Lists!$F$5:$F$40)-1)</f>
        <v/>
      </c>
      <c r="W308" s="18" t="str">
        <f aca="false">IF(V308="","",IF(V308=0,"Same day","Overnight"))</f>
        <v/>
      </c>
      <c r="X308" s="18" t="str">
        <f aca="false">IF(OR(E308="",F308=""),"",IF(AND(E308&gt;=F308,OR(P308="",E308&lt;=P308)),"Yes","No"))</f>
        <v/>
      </c>
      <c r="Y308" s="20" t="str">
        <f aca="false">IF(A308="","",N(G308)-N(L308)-N(N308))</f>
        <v/>
      </c>
      <c r="Z308" s="21" t="str">
        <f aca="false">IF(OR(G308="",H308="",I308=""),"",ABS(H308-I308)*G308)</f>
        <v/>
      </c>
      <c r="AA308" s="22" t="str">
        <f aca="false">IF(OR(J308="",N(Z308)=0),"",ABS(J308-H308)/ABS(H308-I308))</f>
        <v/>
      </c>
      <c r="AB308" s="23" t="str">
        <f aca="false">IF(U308&lt;&gt;"Closed","",(N(L308)*N(M308)+N(N308)*N(O308)+Y308*Q308)/G308)</f>
        <v/>
      </c>
      <c r="AC308" s="24" t="str">
        <f aca="false">IF(U308&lt;&gt;"Closed","",IF($B308="Short",-1,1)*((N(M308)-H308)*N(L308)+(N(O308)-H308)*N(N308)+(Q308-H308)*Y308)-N(R308))</f>
        <v/>
      </c>
      <c r="AD308" s="25" t="str">
        <f aca="false">IF(OR(AC308="",N(Z308)=0),"",AC308/Z308)</f>
        <v/>
      </c>
      <c r="AE308" s="25" t="str">
        <f aca="false">IF(OR(S308="",N(Z308)=0),"",IF($B308="Short",-1,1)*(S308-H308)*G308/Z308)</f>
        <v/>
      </c>
      <c r="AF308" s="25" t="str">
        <f aca="false">IF(OR(T308="",N(Z308)=0),"",IF($B308="Short",-1,1)*(T308-H308)*G308/Z308)</f>
        <v/>
      </c>
      <c r="AG308" s="21" t="str">
        <f aca="false">IF(U308&lt;&gt;"Open","",Y308*MAX(0,IF($B308="Short",-1,1)*(H308-IF(K308="",I308,K308))))</f>
        <v/>
      </c>
      <c r="AH308" s="26" t="str">
        <f aca="false">IF(U308&lt;&gt;"Closed","",DATE(YEAR(P308),MONTH(P308),1))</f>
        <v/>
      </c>
      <c r="AI308" s="19" t="str">
        <f aca="false">IF(U308&lt;&gt;"Closed","",COUNTIFS($U$7:$U$506,"Closed",$P$7:$P$506,"&lt;"&amp;P308)+COUNTIFS($U$7:U308,"Closed",$P$7:P308,P308))</f>
        <v/>
      </c>
    </row>
    <row r="309" customFormat="false" ht="15" hidden="false" customHeight="false" outlineLevel="0" collapsed="false">
      <c r="A309" s="13"/>
      <c r="B309" s="14"/>
      <c r="C309" s="14"/>
      <c r="D309" s="14"/>
      <c r="E309" s="15"/>
      <c r="F309" s="15"/>
      <c r="G309" s="16"/>
      <c r="H309" s="17"/>
      <c r="I309" s="17"/>
      <c r="J309" s="17"/>
      <c r="K309" s="17"/>
      <c r="L309" s="16"/>
      <c r="M309" s="17"/>
      <c r="N309" s="16"/>
      <c r="O309" s="17"/>
      <c r="P309" s="15"/>
      <c r="Q309" s="17"/>
      <c r="R309" s="17"/>
      <c r="S309" s="17"/>
      <c r="T309" s="17"/>
      <c r="U309" s="18" t="str">
        <f aca="false">IF(A309="","",IF(N(G309)-N(L309)-N(N309)&lt;0,"Check shares",IF(AND(P309&lt;&gt;"",Q309&lt;&gt;""),"Closed","Open")))</f>
        <v/>
      </c>
      <c r="V309" s="19" t="str">
        <f aca="false">IF(OR(F309="",P309=""),"",NETWORKDAYS(F309,P309,Lists!$F$5:$F$40)-1)</f>
        <v/>
      </c>
      <c r="W309" s="18" t="str">
        <f aca="false">IF(V309="","",IF(V309=0,"Same day","Overnight"))</f>
        <v/>
      </c>
      <c r="X309" s="18" t="str">
        <f aca="false">IF(OR(E309="",F309=""),"",IF(AND(E309&gt;=F309,OR(P309="",E309&lt;=P309)),"Yes","No"))</f>
        <v/>
      </c>
      <c r="Y309" s="20" t="str">
        <f aca="false">IF(A309="","",N(G309)-N(L309)-N(N309))</f>
        <v/>
      </c>
      <c r="Z309" s="21" t="str">
        <f aca="false">IF(OR(G309="",H309="",I309=""),"",ABS(H309-I309)*G309)</f>
        <v/>
      </c>
      <c r="AA309" s="22" t="str">
        <f aca="false">IF(OR(J309="",N(Z309)=0),"",ABS(J309-H309)/ABS(H309-I309))</f>
        <v/>
      </c>
      <c r="AB309" s="23" t="str">
        <f aca="false">IF(U309&lt;&gt;"Closed","",(N(L309)*N(M309)+N(N309)*N(O309)+Y309*Q309)/G309)</f>
        <v/>
      </c>
      <c r="AC309" s="24" t="str">
        <f aca="false">IF(U309&lt;&gt;"Closed","",IF($B309="Short",-1,1)*((N(M309)-H309)*N(L309)+(N(O309)-H309)*N(N309)+(Q309-H309)*Y309)-N(R309))</f>
        <v/>
      </c>
      <c r="AD309" s="25" t="str">
        <f aca="false">IF(OR(AC309="",N(Z309)=0),"",AC309/Z309)</f>
        <v/>
      </c>
      <c r="AE309" s="25" t="str">
        <f aca="false">IF(OR(S309="",N(Z309)=0),"",IF($B309="Short",-1,1)*(S309-H309)*G309/Z309)</f>
        <v/>
      </c>
      <c r="AF309" s="25" t="str">
        <f aca="false">IF(OR(T309="",N(Z309)=0),"",IF($B309="Short",-1,1)*(T309-H309)*G309/Z309)</f>
        <v/>
      </c>
      <c r="AG309" s="21" t="str">
        <f aca="false">IF(U309&lt;&gt;"Open","",Y309*MAX(0,IF($B309="Short",-1,1)*(H309-IF(K309="",I309,K309))))</f>
        <v/>
      </c>
      <c r="AH309" s="26" t="str">
        <f aca="false">IF(U309&lt;&gt;"Closed","",DATE(YEAR(P309),MONTH(P309),1))</f>
        <v/>
      </c>
      <c r="AI309" s="19" t="str">
        <f aca="false">IF(U309&lt;&gt;"Closed","",COUNTIFS($U$7:$U$506,"Closed",$P$7:$P$506,"&lt;"&amp;P309)+COUNTIFS($U$7:U309,"Closed",$P$7:P309,P309))</f>
        <v/>
      </c>
    </row>
    <row r="310" customFormat="false" ht="15" hidden="false" customHeight="false" outlineLevel="0" collapsed="false">
      <c r="A310" s="13"/>
      <c r="B310" s="14"/>
      <c r="C310" s="14"/>
      <c r="D310" s="14"/>
      <c r="E310" s="15"/>
      <c r="F310" s="15"/>
      <c r="G310" s="16"/>
      <c r="H310" s="17"/>
      <c r="I310" s="17"/>
      <c r="J310" s="17"/>
      <c r="K310" s="17"/>
      <c r="L310" s="16"/>
      <c r="M310" s="17"/>
      <c r="N310" s="16"/>
      <c r="O310" s="17"/>
      <c r="P310" s="15"/>
      <c r="Q310" s="17"/>
      <c r="R310" s="17"/>
      <c r="S310" s="17"/>
      <c r="T310" s="17"/>
      <c r="U310" s="18" t="str">
        <f aca="false">IF(A310="","",IF(N(G310)-N(L310)-N(N310)&lt;0,"Check shares",IF(AND(P310&lt;&gt;"",Q310&lt;&gt;""),"Closed","Open")))</f>
        <v/>
      </c>
      <c r="V310" s="19" t="str">
        <f aca="false">IF(OR(F310="",P310=""),"",NETWORKDAYS(F310,P310,Lists!$F$5:$F$40)-1)</f>
        <v/>
      </c>
      <c r="W310" s="18" t="str">
        <f aca="false">IF(V310="","",IF(V310=0,"Same day","Overnight"))</f>
        <v/>
      </c>
      <c r="X310" s="18" t="str">
        <f aca="false">IF(OR(E310="",F310=""),"",IF(AND(E310&gt;=F310,OR(P310="",E310&lt;=P310)),"Yes","No"))</f>
        <v/>
      </c>
      <c r="Y310" s="20" t="str">
        <f aca="false">IF(A310="","",N(G310)-N(L310)-N(N310))</f>
        <v/>
      </c>
      <c r="Z310" s="21" t="str">
        <f aca="false">IF(OR(G310="",H310="",I310=""),"",ABS(H310-I310)*G310)</f>
        <v/>
      </c>
      <c r="AA310" s="22" t="str">
        <f aca="false">IF(OR(J310="",N(Z310)=0),"",ABS(J310-H310)/ABS(H310-I310))</f>
        <v/>
      </c>
      <c r="AB310" s="23" t="str">
        <f aca="false">IF(U310&lt;&gt;"Closed","",(N(L310)*N(M310)+N(N310)*N(O310)+Y310*Q310)/G310)</f>
        <v/>
      </c>
      <c r="AC310" s="24" t="str">
        <f aca="false">IF(U310&lt;&gt;"Closed","",IF($B310="Short",-1,1)*((N(M310)-H310)*N(L310)+(N(O310)-H310)*N(N310)+(Q310-H310)*Y310)-N(R310))</f>
        <v/>
      </c>
      <c r="AD310" s="25" t="str">
        <f aca="false">IF(OR(AC310="",N(Z310)=0),"",AC310/Z310)</f>
        <v/>
      </c>
      <c r="AE310" s="25" t="str">
        <f aca="false">IF(OR(S310="",N(Z310)=0),"",IF($B310="Short",-1,1)*(S310-H310)*G310/Z310)</f>
        <v/>
      </c>
      <c r="AF310" s="25" t="str">
        <f aca="false">IF(OR(T310="",N(Z310)=0),"",IF($B310="Short",-1,1)*(T310-H310)*G310/Z310)</f>
        <v/>
      </c>
      <c r="AG310" s="21" t="str">
        <f aca="false">IF(U310&lt;&gt;"Open","",Y310*MAX(0,IF($B310="Short",-1,1)*(H310-IF(K310="",I310,K310))))</f>
        <v/>
      </c>
      <c r="AH310" s="26" t="str">
        <f aca="false">IF(U310&lt;&gt;"Closed","",DATE(YEAR(P310),MONTH(P310),1))</f>
        <v/>
      </c>
      <c r="AI310" s="19" t="str">
        <f aca="false">IF(U310&lt;&gt;"Closed","",COUNTIFS($U$7:$U$506,"Closed",$P$7:$P$506,"&lt;"&amp;P310)+COUNTIFS($U$7:U310,"Closed",$P$7:P310,P310))</f>
        <v/>
      </c>
    </row>
    <row r="311" customFormat="false" ht="15" hidden="false" customHeight="false" outlineLevel="0" collapsed="false">
      <c r="A311" s="13"/>
      <c r="B311" s="14"/>
      <c r="C311" s="14"/>
      <c r="D311" s="14"/>
      <c r="E311" s="15"/>
      <c r="F311" s="15"/>
      <c r="G311" s="16"/>
      <c r="H311" s="17"/>
      <c r="I311" s="17"/>
      <c r="J311" s="17"/>
      <c r="K311" s="17"/>
      <c r="L311" s="16"/>
      <c r="M311" s="17"/>
      <c r="N311" s="16"/>
      <c r="O311" s="17"/>
      <c r="P311" s="15"/>
      <c r="Q311" s="17"/>
      <c r="R311" s="17"/>
      <c r="S311" s="17"/>
      <c r="T311" s="17"/>
      <c r="U311" s="18" t="str">
        <f aca="false">IF(A311="","",IF(N(G311)-N(L311)-N(N311)&lt;0,"Check shares",IF(AND(P311&lt;&gt;"",Q311&lt;&gt;""),"Closed","Open")))</f>
        <v/>
      </c>
      <c r="V311" s="19" t="str">
        <f aca="false">IF(OR(F311="",P311=""),"",NETWORKDAYS(F311,P311,Lists!$F$5:$F$40)-1)</f>
        <v/>
      </c>
      <c r="W311" s="18" t="str">
        <f aca="false">IF(V311="","",IF(V311=0,"Same day","Overnight"))</f>
        <v/>
      </c>
      <c r="X311" s="18" t="str">
        <f aca="false">IF(OR(E311="",F311=""),"",IF(AND(E311&gt;=F311,OR(P311="",E311&lt;=P311)),"Yes","No"))</f>
        <v/>
      </c>
      <c r="Y311" s="20" t="str">
        <f aca="false">IF(A311="","",N(G311)-N(L311)-N(N311))</f>
        <v/>
      </c>
      <c r="Z311" s="21" t="str">
        <f aca="false">IF(OR(G311="",H311="",I311=""),"",ABS(H311-I311)*G311)</f>
        <v/>
      </c>
      <c r="AA311" s="22" t="str">
        <f aca="false">IF(OR(J311="",N(Z311)=0),"",ABS(J311-H311)/ABS(H311-I311))</f>
        <v/>
      </c>
      <c r="AB311" s="23" t="str">
        <f aca="false">IF(U311&lt;&gt;"Closed","",(N(L311)*N(M311)+N(N311)*N(O311)+Y311*Q311)/G311)</f>
        <v/>
      </c>
      <c r="AC311" s="24" t="str">
        <f aca="false">IF(U311&lt;&gt;"Closed","",IF($B311="Short",-1,1)*((N(M311)-H311)*N(L311)+(N(O311)-H311)*N(N311)+(Q311-H311)*Y311)-N(R311))</f>
        <v/>
      </c>
      <c r="AD311" s="25" t="str">
        <f aca="false">IF(OR(AC311="",N(Z311)=0),"",AC311/Z311)</f>
        <v/>
      </c>
      <c r="AE311" s="25" t="str">
        <f aca="false">IF(OR(S311="",N(Z311)=0),"",IF($B311="Short",-1,1)*(S311-H311)*G311/Z311)</f>
        <v/>
      </c>
      <c r="AF311" s="25" t="str">
        <f aca="false">IF(OR(T311="",N(Z311)=0),"",IF($B311="Short",-1,1)*(T311-H311)*G311/Z311)</f>
        <v/>
      </c>
      <c r="AG311" s="21" t="str">
        <f aca="false">IF(U311&lt;&gt;"Open","",Y311*MAX(0,IF($B311="Short",-1,1)*(H311-IF(K311="",I311,K311))))</f>
        <v/>
      </c>
      <c r="AH311" s="26" t="str">
        <f aca="false">IF(U311&lt;&gt;"Closed","",DATE(YEAR(P311),MONTH(P311),1))</f>
        <v/>
      </c>
      <c r="AI311" s="19" t="str">
        <f aca="false">IF(U311&lt;&gt;"Closed","",COUNTIFS($U$7:$U$506,"Closed",$P$7:$P$506,"&lt;"&amp;P311)+COUNTIFS($U$7:U311,"Closed",$P$7:P311,P311))</f>
        <v/>
      </c>
    </row>
    <row r="312" customFormat="false" ht="15" hidden="false" customHeight="false" outlineLevel="0" collapsed="false">
      <c r="A312" s="13"/>
      <c r="B312" s="14"/>
      <c r="C312" s="14"/>
      <c r="D312" s="14"/>
      <c r="E312" s="15"/>
      <c r="F312" s="15"/>
      <c r="G312" s="16"/>
      <c r="H312" s="17"/>
      <c r="I312" s="17"/>
      <c r="J312" s="17"/>
      <c r="K312" s="17"/>
      <c r="L312" s="16"/>
      <c r="M312" s="17"/>
      <c r="N312" s="16"/>
      <c r="O312" s="17"/>
      <c r="P312" s="15"/>
      <c r="Q312" s="17"/>
      <c r="R312" s="17"/>
      <c r="S312" s="17"/>
      <c r="T312" s="17"/>
      <c r="U312" s="18" t="str">
        <f aca="false">IF(A312="","",IF(N(G312)-N(L312)-N(N312)&lt;0,"Check shares",IF(AND(P312&lt;&gt;"",Q312&lt;&gt;""),"Closed","Open")))</f>
        <v/>
      </c>
      <c r="V312" s="19" t="str">
        <f aca="false">IF(OR(F312="",P312=""),"",NETWORKDAYS(F312,P312,Lists!$F$5:$F$40)-1)</f>
        <v/>
      </c>
      <c r="W312" s="18" t="str">
        <f aca="false">IF(V312="","",IF(V312=0,"Same day","Overnight"))</f>
        <v/>
      </c>
      <c r="X312" s="18" t="str">
        <f aca="false">IF(OR(E312="",F312=""),"",IF(AND(E312&gt;=F312,OR(P312="",E312&lt;=P312)),"Yes","No"))</f>
        <v/>
      </c>
      <c r="Y312" s="20" t="str">
        <f aca="false">IF(A312="","",N(G312)-N(L312)-N(N312))</f>
        <v/>
      </c>
      <c r="Z312" s="21" t="str">
        <f aca="false">IF(OR(G312="",H312="",I312=""),"",ABS(H312-I312)*G312)</f>
        <v/>
      </c>
      <c r="AA312" s="22" t="str">
        <f aca="false">IF(OR(J312="",N(Z312)=0),"",ABS(J312-H312)/ABS(H312-I312))</f>
        <v/>
      </c>
      <c r="AB312" s="23" t="str">
        <f aca="false">IF(U312&lt;&gt;"Closed","",(N(L312)*N(M312)+N(N312)*N(O312)+Y312*Q312)/G312)</f>
        <v/>
      </c>
      <c r="AC312" s="24" t="str">
        <f aca="false">IF(U312&lt;&gt;"Closed","",IF($B312="Short",-1,1)*((N(M312)-H312)*N(L312)+(N(O312)-H312)*N(N312)+(Q312-H312)*Y312)-N(R312))</f>
        <v/>
      </c>
      <c r="AD312" s="25" t="str">
        <f aca="false">IF(OR(AC312="",N(Z312)=0),"",AC312/Z312)</f>
        <v/>
      </c>
      <c r="AE312" s="25" t="str">
        <f aca="false">IF(OR(S312="",N(Z312)=0),"",IF($B312="Short",-1,1)*(S312-H312)*G312/Z312)</f>
        <v/>
      </c>
      <c r="AF312" s="25" t="str">
        <f aca="false">IF(OR(T312="",N(Z312)=0),"",IF($B312="Short",-1,1)*(T312-H312)*G312/Z312)</f>
        <v/>
      </c>
      <c r="AG312" s="21" t="str">
        <f aca="false">IF(U312&lt;&gt;"Open","",Y312*MAX(0,IF($B312="Short",-1,1)*(H312-IF(K312="",I312,K312))))</f>
        <v/>
      </c>
      <c r="AH312" s="26" t="str">
        <f aca="false">IF(U312&lt;&gt;"Closed","",DATE(YEAR(P312),MONTH(P312),1))</f>
        <v/>
      </c>
      <c r="AI312" s="19" t="str">
        <f aca="false">IF(U312&lt;&gt;"Closed","",COUNTIFS($U$7:$U$506,"Closed",$P$7:$P$506,"&lt;"&amp;P312)+COUNTIFS($U$7:U312,"Closed",$P$7:P312,P312))</f>
        <v/>
      </c>
    </row>
    <row r="313" customFormat="false" ht="15" hidden="false" customHeight="false" outlineLevel="0" collapsed="false">
      <c r="A313" s="13"/>
      <c r="B313" s="14"/>
      <c r="C313" s="14"/>
      <c r="D313" s="14"/>
      <c r="E313" s="15"/>
      <c r="F313" s="15"/>
      <c r="G313" s="16"/>
      <c r="H313" s="17"/>
      <c r="I313" s="17"/>
      <c r="J313" s="17"/>
      <c r="K313" s="17"/>
      <c r="L313" s="16"/>
      <c r="M313" s="17"/>
      <c r="N313" s="16"/>
      <c r="O313" s="17"/>
      <c r="P313" s="15"/>
      <c r="Q313" s="17"/>
      <c r="R313" s="17"/>
      <c r="S313" s="17"/>
      <c r="T313" s="17"/>
      <c r="U313" s="18" t="str">
        <f aca="false">IF(A313="","",IF(N(G313)-N(L313)-N(N313)&lt;0,"Check shares",IF(AND(P313&lt;&gt;"",Q313&lt;&gt;""),"Closed","Open")))</f>
        <v/>
      </c>
      <c r="V313" s="19" t="str">
        <f aca="false">IF(OR(F313="",P313=""),"",NETWORKDAYS(F313,P313,Lists!$F$5:$F$40)-1)</f>
        <v/>
      </c>
      <c r="W313" s="18" t="str">
        <f aca="false">IF(V313="","",IF(V313=0,"Same day","Overnight"))</f>
        <v/>
      </c>
      <c r="X313" s="18" t="str">
        <f aca="false">IF(OR(E313="",F313=""),"",IF(AND(E313&gt;=F313,OR(P313="",E313&lt;=P313)),"Yes","No"))</f>
        <v/>
      </c>
      <c r="Y313" s="20" t="str">
        <f aca="false">IF(A313="","",N(G313)-N(L313)-N(N313))</f>
        <v/>
      </c>
      <c r="Z313" s="21" t="str">
        <f aca="false">IF(OR(G313="",H313="",I313=""),"",ABS(H313-I313)*G313)</f>
        <v/>
      </c>
      <c r="AA313" s="22" t="str">
        <f aca="false">IF(OR(J313="",N(Z313)=0),"",ABS(J313-H313)/ABS(H313-I313))</f>
        <v/>
      </c>
      <c r="AB313" s="23" t="str">
        <f aca="false">IF(U313&lt;&gt;"Closed","",(N(L313)*N(M313)+N(N313)*N(O313)+Y313*Q313)/G313)</f>
        <v/>
      </c>
      <c r="AC313" s="24" t="str">
        <f aca="false">IF(U313&lt;&gt;"Closed","",IF($B313="Short",-1,1)*((N(M313)-H313)*N(L313)+(N(O313)-H313)*N(N313)+(Q313-H313)*Y313)-N(R313))</f>
        <v/>
      </c>
      <c r="AD313" s="25" t="str">
        <f aca="false">IF(OR(AC313="",N(Z313)=0),"",AC313/Z313)</f>
        <v/>
      </c>
      <c r="AE313" s="25" t="str">
        <f aca="false">IF(OR(S313="",N(Z313)=0),"",IF($B313="Short",-1,1)*(S313-H313)*G313/Z313)</f>
        <v/>
      </c>
      <c r="AF313" s="25" t="str">
        <f aca="false">IF(OR(T313="",N(Z313)=0),"",IF($B313="Short",-1,1)*(T313-H313)*G313/Z313)</f>
        <v/>
      </c>
      <c r="AG313" s="21" t="str">
        <f aca="false">IF(U313&lt;&gt;"Open","",Y313*MAX(0,IF($B313="Short",-1,1)*(H313-IF(K313="",I313,K313))))</f>
        <v/>
      </c>
      <c r="AH313" s="26" t="str">
        <f aca="false">IF(U313&lt;&gt;"Closed","",DATE(YEAR(P313),MONTH(P313),1))</f>
        <v/>
      </c>
      <c r="AI313" s="19" t="str">
        <f aca="false">IF(U313&lt;&gt;"Closed","",COUNTIFS($U$7:$U$506,"Closed",$P$7:$P$506,"&lt;"&amp;P313)+COUNTIFS($U$7:U313,"Closed",$P$7:P313,P313))</f>
        <v/>
      </c>
    </row>
    <row r="314" customFormat="false" ht="15" hidden="false" customHeight="false" outlineLevel="0" collapsed="false">
      <c r="A314" s="13"/>
      <c r="B314" s="14"/>
      <c r="C314" s="14"/>
      <c r="D314" s="14"/>
      <c r="E314" s="15"/>
      <c r="F314" s="15"/>
      <c r="G314" s="16"/>
      <c r="H314" s="17"/>
      <c r="I314" s="17"/>
      <c r="J314" s="17"/>
      <c r="K314" s="17"/>
      <c r="L314" s="16"/>
      <c r="M314" s="17"/>
      <c r="N314" s="16"/>
      <c r="O314" s="17"/>
      <c r="P314" s="15"/>
      <c r="Q314" s="17"/>
      <c r="R314" s="17"/>
      <c r="S314" s="17"/>
      <c r="T314" s="17"/>
      <c r="U314" s="18" t="str">
        <f aca="false">IF(A314="","",IF(N(G314)-N(L314)-N(N314)&lt;0,"Check shares",IF(AND(P314&lt;&gt;"",Q314&lt;&gt;""),"Closed","Open")))</f>
        <v/>
      </c>
      <c r="V314" s="19" t="str">
        <f aca="false">IF(OR(F314="",P314=""),"",NETWORKDAYS(F314,P314,Lists!$F$5:$F$40)-1)</f>
        <v/>
      </c>
      <c r="W314" s="18" t="str">
        <f aca="false">IF(V314="","",IF(V314=0,"Same day","Overnight"))</f>
        <v/>
      </c>
      <c r="X314" s="18" t="str">
        <f aca="false">IF(OR(E314="",F314=""),"",IF(AND(E314&gt;=F314,OR(P314="",E314&lt;=P314)),"Yes","No"))</f>
        <v/>
      </c>
      <c r="Y314" s="20" t="str">
        <f aca="false">IF(A314="","",N(G314)-N(L314)-N(N314))</f>
        <v/>
      </c>
      <c r="Z314" s="21" t="str">
        <f aca="false">IF(OR(G314="",H314="",I314=""),"",ABS(H314-I314)*G314)</f>
        <v/>
      </c>
      <c r="AA314" s="22" t="str">
        <f aca="false">IF(OR(J314="",N(Z314)=0),"",ABS(J314-H314)/ABS(H314-I314))</f>
        <v/>
      </c>
      <c r="AB314" s="23" t="str">
        <f aca="false">IF(U314&lt;&gt;"Closed","",(N(L314)*N(M314)+N(N314)*N(O314)+Y314*Q314)/G314)</f>
        <v/>
      </c>
      <c r="AC314" s="24" t="str">
        <f aca="false">IF(U314&lt;&gt;"Closed","",IF($B314="Short",-1,1)*((N(M314)-H314)*N(L314)+(N(O314)-H314)*N(N314)+(Q314-H314)*Y314)-N(R314))</f>
        <v/>
      </c>
      <c r="AD314" s="25" t="str">
        <f aca="false">IF(OR(AC314="",N(Z314)=0),"",AC314/Z314)</f>
        <v/>
      </c>
      <c r="AE314" s="25" t="str">
        <f aca="false">IF(OR(S314="",N(Z314)=0),"",IF($B314="Short",-1,1)*(S314-H314)*G314/Z314)</f>
        <v/>
      </c>
      <c r="AF314" s="25" t="str">
        <f aca="false">IF(OR(T314="",N(Z314)=0),"",IF($B314="Short",-1,1)*(T314-H314)*G314/Z314)</f>
        <v/>
      </c>
      <c r="AG314" s="21" t="str">
        <f aca="false">IF(U314&lt;&gt;"Open","",Y314*MAX(0,IF($B314="Short",-1,1)*(H314-IF(K314="",I314,K314))))</f>
        <v/>
      </c>
      <c r="AH314" s="26" t="str">
        <f aca="false">IF(U314&lt;&gt;"Closed","",DATE(YEAR(P314),MONTH(P314),1))</f>
        <v/>
      </c>
      <c r="AI314" s="19" t="str">
        <f aca="false">IF(U314&lt;&gt;"Closed","",COUNTIFS($U$7:$U$506,"Closed",$P$7:$P$506,"&lt;"&amp;P314)+COUNTIFS($U$7:U314,"Closed",$P$7:P314,P314))</f>
        <v/>
      </c>
    </row>
    <row r="315" customFormat="false" ht="15" hidden="false" customHeight="false" outlineLevel="0" collapsed="false">
      <c r="A315" s="13"/>
      <c r="B315" s="14"/>
      <c r="C315" s="14"/>
      <c r="D315" s="14"/>
      <c r="E315" s="15"/>
      <c r="F315" s="15"/>
      <c r="G315" s="16"/>
      <c r="H315" s="17"/>
      <c r="I315" s="17"/>
      <c r="J315" s="17"/>
      <c r="K315" s="17"/>
      <c r="L315" s="16"/>
      <c r="M315" s="17"/>
      <c r="N315" s="16"/>
      <c r="O315" s="17"/>
      <c r="P315" s="15"/>
      <c r="Q315" s="17"/>
      <c r="R315" s="17"/>
      <c r="S315" s="17"/>
      <c r="T315" s="17"/>
      <c r="U315" s="18" t="str">
        <f aca="false">IF(A315="","",IF(N(G315)-N(L315)-N(N315)&lt;0,"Check shares",IF(AND(P315&lt;&gt;"",Q315&lt;&gt;""),"Closed","Open")))</f>
        <v/>
      </c>
      <c r="V315" s="19" t="str">
        <f aca="false">IF(OR(F315="",P315=""),"",NETWORKDAYS(F315,P315,Lists!$F$5:$F$40)-1)</f>
        <v/>
      </c>
      <c r="W315" s="18" t="str">
        <f aca="false">IF(V315="","",IF(V315=0,"Same day","Overnight"))</f>
        <v/>
      </c>
      <c r="X315" s="18" t="str">
        <f aca="false">IF(OR(E315="",F315=""),"",IF(AND(E315&gt;=F315,OR(P315="",E315&lt;=P315)),"Yes","No"))</f>
        <v/>
      </c>
      <c r="Y315" s="20" t="str">
        <f aca="false">IF(A315="","",N(G315)-N(L315)-N(N315))</f>
        <v/>
      </c>
      <c r="Z315" s="21" t="str">
        <f aca="false">IF(OR(G315="",H315="",I315=""),"",ABS(H315-I315)*G315)</f>
        <v/>
      </c>
      <c r="AA315" s="22" t="str">
        <f aca="false">IF(OR(J315="",N(Z315)=0),"",ABS(J315-H315)/ABS(H315-I315))</f>
        <v/>
      </c>
      <c r="AB315" s="23" t="str">
        <f aca="false">IF(U315&lt;&gt;"Closed","",(N(L315)*N(M315)+N(N315)*N(O315)+Y315*Q315)/G315)</f>
        <v/>
      </c>
      <c r="AC315" s="24" t="str">
        <f aca="false">IF(U315&lt;&gt;"Closed","",IF($B315="Short",-1,1)*((N(M315)-H315)*N(L315)+(N(O315)-H315)*N(N315)+(Q315-H315)*Y315)-N(R315))</f>
        <v/>
      </c>
      <c r="AD315" s="25" t="str">
        <f aca="false">IF(OR(AC315="",N(Z315)=0),"",AC315/Z315)</f>
        <v/>
      </c>
      <c r="AE315" s="25" t="str">
        <f aca="false">IF(OR(S315="",N(Z315)=0),"",IF($B315="Short",-1,1)*(S315-H315)*G315/Z315)</f>
        <v/>
      </c>
      <c r="AF315" s="25" t="str">
        <f aca="false">IF(OR(T315="",N(Z315)=0),"",IF($B315="Short",-1,1)*(T315-H315)*G315/Z315)</f>
        <v/>
      </c>
      <c r="AG315" s="21" t="str">
        <f aca="false">IF(U315&lt;&gt;"Open","",Y315*MAX(0,IF($B315="Short",-1,1)*(H315-IF(K315="",I315,K315))))</f>
        <v/>
      </c>
      <c r="AH315" s="26" t="str">
        <f aca="false">IF(U315&lt;&gt;"Closed","",DATE(YEAR(P315),MONTH(P315),1))</f>
        <v/>
      </c>
      <c r="AI315" s="19" t="str">
        <f aca="false">IF(U315&lt;&gt;"Closed","",COUNTIFS($U$7:$U$506,"Closed",$P$7:$P$506,"&lt;"&amp;P315)+COUNTIFS($U$7:U315,"Closed",$P$7:P315,P315))</f>
        <v/>
      </c>
    </row>
    <row r="316" customFormat="false" ht="15" hidden="false" customHeight="false" outlineLevel="0" collapsed="false">
      <c r="A316" s="13"/>
      <c r="B316" s="14"/>
      <c r="C316" s="14"/>
      <c r="D316" s="14"/>
      <c r="E316" s="15"/>
      <c r="F316" s="15"/>
      <c r="G316" s="16"/>
      <c r="H316" s="17"/>
      <c r="I316" s="17"/>
      <c r="J316" s="17"/>
      <c r="K316" s="17"/>
      <c r="L316" s="16"/>
      <c r="M316" s="17"/>
      <c r="N316" s="16"/>
      <c r="O316" s="17"/>
      <c r="P316" s="15"/>
      <c r="Q316" s="17"/>
      <c r="R316" s="17"/>
      <c r="S316" s="17"/>
      <c r="T316" s="17"/>
      <c r="U316" s="18" t="str">
        <f aca="false">IF(A316="","",IF(N(G316)-N(L316)-N(N316)&lt;0,"Check shares",IF(AND(P316&lt;&gt;"",Q316&lt;&gt;""),"Closed","Open")))</f>
        <v/>
      </c>
      <c r="V316" s="19" t="str">
        <f aca="false">IF(OR(F316="",P316=""),"",NETWORKDAYS(F316,P316,Lists!$F$5:$F$40)-1)</f>
        <v/>
      </c>
      <c r="W316" s="18" t="str">
        <f aca="false">IF(V316="","",IF(V316=0,"Same day","Overnight"))</f>
        <v/>
      </c>
      <c r="X316" s="18" t="str">
        <f aca="false">IF(OR(E316="",F316=""),"",IF(AND(E316&gt;=F316,OR(P316="",E316&lt;=P316)),"Yes","No"))</f>
        <v/>
      </c>
      <c r="Y316" s="20" t="str">
        <f aca="false">IF(A316="","",N(G316)-N(L316)-N(N316))</f>
        <v/>
      </c>
      <c r="Z316" s="21" t="str">
        <f aca="false">IF(OR(G316="",H316="",I316=""),"",ABS(H316-I316)*G316)</f>
        <v/>
      </c>
      <c r="AA316" s="22" t="str">
        <f aca="false">IF(OR(J316="",N(Z316)=0),"",ABS(J316-H316)/ABS(H316-I316))</f>
        <v/>
      </c>
      <c r="AB316" s="23" t="str">
        <f aca="false">IF(U316&lt;&gt;"Closed","",(N(L316)*N(M316)+N(N316)*N(O316)+Y316*Q316)/G316)</f>
        <v/>
      </c>
      <c r="AC316" s="24" t="str">
        <f aca="false">IF(U316&lt;&gt;"Closed","",IF($B316="Short",-1,1)*((N(M316)-H316)*N(L316)+(N(O316)-H316)*N(N316)+(Q316-H316)*Y316)-N(R316))</f>
        <v/>
      </c>
      <c r="AD316" s="25" t="str">
        <f aca="false">IF(OR(AC316="",N(Z316)=0),"",AC316/Z316)</f>
        <v/>
      </c>
      <c r="AE316" s="25" t="str">
        <f aca="false">IF(OR(S316="",N(Z316)=0),"",IF($B316="Short",-1,1)*(S316-H316)*G316/Z316)</f>
        <v/>
      </c>
      <c r="AF316" s="25" t="str">
        <f aca="false">IF(OR(T316="",N(Z316)=0),"",IF($B316="Short",-1,1)*(T316-H316)*G316/Z316)</f>
        <v/>
      </c>
      <c r="AG316" s="21" t="str">
        <f aca="false">IF(U316&lt;&gt;"Open","",Y316*MAX(0,IF($B316="Short",-1,1)*(H316-IF(K316="",I316,K316))))</f>
        <v/>
      </c>
      <c r="AH316" s="26" t="str">
        <f aca="false">IF(U316&lt;&gt;"Closed","",DATE(YEAR(P316),MONTH(P316),1))</f>
        <v/>
      </c>
      <c r="AI316" s="19" t="str">
        <f aca="false">IF(U316&lt;&gt;"Closed","",COUNTIFS($U$7:$U$506,"Closed",$P$7:$P$506,"&lt;"&amp;P316)+COUNTIFS($U$7:U316,"Closed",$P$7:P316,P316))</f>
        <v/>
      </c>
    </row>
    <row r="317" customFormat="false" ht="15" hidden="false" customHeight="false" outlineLevel="0" collapsed="false">
      <c r="A317" s="13"/>
      <c r="B317" s="14"/>
      <c r="C317" s="14"/>
      <c r="D317" s="14"/>
      <c r="E317" s="15"/>
      <c r="F317" s="15"/>
      <c r="G317" s="16"/>
      <c r="H317" s="17"/>
      <c r="I317" s="17"/>
      <c r="J317" s="17"/>
      <c r="K317" s="17"/>
      <c r="L317" s="16"/>
      <c r="M317" s="17"/>
      <c r="N317" s="16"/>
      <c r="O317" s="17"/>
      <c r="P317" s="15"/>
      <c r="Q317" s="17"/>
      <c r="R317" s="17"/>
      <c r="S317" s="17"/>
      <c r="T317" s="17"/>
      <c r="U317" s="18" t="str">
        <f aca="false">IF(A317="","",IF(N(G317)-N(L317)-N(N317)&lt;0,"Check shares",IF(AND(P317&lt;&gt;"",Q317&lt;&gt;""),"Closed","Open")))</f>
        <v/>
      </c>
      <c r="V317" s="19" t="str">
        <f aca="false">IF(OR(F317="",P317=""),"",NETWORKDAYS(F317,P317,Lists!$F$5:$F$40)-1)</f>
        <v/>
      </c>
      <c r="W317" s="18" t="str">
        <f aca="false">IF(V317="","",IF(V317=0,"Same day","Overnight"))</f>
        <v/>
      </c>
      <c r="X317" s="18" t="str">
        <f aca="false">IF(OR(E317="",F317=""),"",IF(AND(E317&gt;=F317,OR(P317="",E317&lt;=P317)),"Yes","No"))</f>
        <v/>
      </c>
      <c r="Y317" s="20" t="str">
        <f aca="false">IF(A317="","",N(G317)-N(L317)-N(N317))</f>
        <v/>
      </c>
      <c r="Z317" s="21" t="str">
        <f aca="false">IF(OR(G317="",H317="",I317=""),"",ABS(H317-I317)*G317)</f>
        <v/>
      </c>
      <c r="AA317" s="22" t="str">
        <f aca="false">IF(OR(J317="",N(Z317)=0),"",ABS(J317-H317)/ABS(H317-I317))</f>
        <v/>
      </c>
      <c r="AB317" s="23" t="str">
        <f aca="false">IF(U317&lt;&gt;"Closed","",(N(L317)*N(M317)+N(N317)*N(O317)+Y317*Q317)/G317)</f>
        <v/>
      </c>
      <c r="AC317" s="24" t="str">
        <f aca="false">IF(U317&lt;&gt;"Closed","",IF($B317="Short",-1,1)*((N(M317)-H317)*N(L317)+(N(O317)-H317)*N(N317)+(Q317-H317)*Y317)-N(R317))</f>
        <v/>
      </c>
      <c r="AD317" s="25" t="str">
        <f aca="false">IF(OR(AC317="",N(Z317)=0),"",AC317/Z317)</f>
        <v/>
      </c>
      <c r="AE317" s="25" t="str">
        <f aca="false">IF(OR(S317="",N(Z317)=0),"",IF($B317="Short",-1,1)*(S317-H317)*G317/Z317)</f>
        <v/>
      </c>
      <c r="AF317" s="25" t="str">
        <f aca="false">IF(OR(T317="",N(Z317)=0),"",IF($B317="Short",-1,1)*(T317-H317)*G317/Z317)</f>
        <v/>
      </c>
      <c r="AG317" s="21" t="str">
        <f aca="false">IF(U317&lt;&gt;"Open","",Y317*MAX(0,IF($B317="Short",-1,1)*(H317-IF(K317="",I317,K317))))</f>
        <v/>
      </c>
      <c r="AH317" s="26" t="str">
        <f aca="false">IF(U317&lt;&gt;"Closed","",DATE(YEAR(P317),MONTH(P317),1))</f>
        <v/>
      </c>
      <c r="AI317" s="19" t="str">
        <f aca="false">IF(U317&lt;&gt;"Closed","",COUNTIFS($U$7:$U$506,"Closed",$P$7:$P$506,"&lt;"&amp;P317)+COUNTIFS($U$7:U317,"Closed",$P$7:P317,P317))</f>
        <v/>
      </c>
    </row>
    <row r="318" customFormat="false" ht="15" hidden="false" customHeight="false" outlineLevel="0" collapsed="false">
      <c r="A318" s="13"/>
      <c r="B318" s="14"/>
      <c r="C318" s="14"/>
      <c r="D318" s="14"/>
      <c r="E318" s="15"/>
      <c r="F318" s="15"/>
      <c r="G318" s="16"/>
      <c r="H318" s="17"/>
      <c r="I318" s="17"/>
      <c r="J318" s="17"/>
      <c r="K318" s="17"/>
      <c r="L318" s="16"/>
      <c r="M318" s="17"/>
      <c r="N318" s="16"/>
      <c r="O318" s="17"/>
      <c r="P318" s="15"/>
      <c r="Q318" s="17"/>
      <c r="R318" s="17"/>
      <c r="S318" s="17"/>
      <c r="T318" s="17"/>
      <c r="U318" s="18" t="str">
        <f aca="false">IF(A318="","",IF(N(G318)-N(L318)-N(N318)&lt;0,"Check shares",IF(AND(P318&lt;&gt;"",Q318&lt;&gt;""),"Closed","Open")))</f>
        <v/>
      </c>
      <c r="V318" s="19" t="str">
        <f aca="false">IF(OR(F318="",P318=""),"",NETWORKDAYS(F318,P318,Lists!$F$5:$F$40)-1)</f>
        <v/>
      </c>
      <c r="W318" s="18" t="str">
        <f aca="false">IF(V318="","",IF(V318=0,"Same day","Overnight"))</f>
        <v/>
      </c>
      <c r="X318" s="18" t="str">
        <f aca="false">IF(OR(E318="",F318=""),"",IF(AND(E318&gt;=F318,OR(P318="",E318&lt;=P318)),"Yes","No"))</f>
        <v/>
      </c>
      <c r="Y318" s="20" t="str">
        <f aca="false">IF(A318="","",N(G318)-N(L318)-N(N318))</f>
        <v/>
      </c>
      <c r="Z318" s="21" t="str">
        <f aca="false">IF(OR(G318="",H318="",I318=""),"",ABS(H318-I318)*G318)</f>
        <v/>
      </c>
      <c r="AA318" s="22" t="str">
        <f aca="false">IF(OR(J318="",N(Z318)=0),"",ABS(J318-H318)/ABS(H318-I318))</f>
        <v/>
      </c>
      <c r="AB318" s="23" t="str">
        <f aca="false">IF(U318&lt;&gt;"Closed","",(N(L318)*N(M318)+N(N318)*N(O318)+Y318*Q318)/G318)</f>
        <v/>
      </c>
      <c r="AC318" s="24" t="str">
        <f aca="false">IF(U318&lt;&gt;"Closed","",IF($B318="Short",-1,1)*((N(M318)-H318)*N(L318)+(N(O318)-H318)*N(N318)+(Q318-H318)*Y318)-N(R318))</f>
        <v/>
      </c>
      <c r="AD318" s="25" t="str">
        <f aca="false">IF(OR(AC318="",N(Z318)=0),"",AC318/Z318)</f>
        <v/>
      </c>
      <c r="AE318" s="25" t="str">
        <f aca="false">IF(OR(S318="",N(Z318)=0),"",IF($B318="Short",-1,1)*(S318-H318)*G318/Z318)</f>
        <v/>
      </c>
      <c r="AF318" s="25" t="str">
        <f aca="false">IF(OR(T318="",N(Z318)=0),"",IF($B318="Short",-1,1)*(T318-H318)*G318/Z318)</f>
        <v/>
      </c>
      <c r="AG318" s="21" t="str">
        <f aca="false">IF(U318&lt;&gt;"Open","",Y318*MAX(0,IF($B318="Short",-1,1)*(H318-IF(K318="",I318,K318))))</f>
        <v/>
      </c>
      <c r="AH318" s="26" t="str">
        <f aca="false">IF(U318&lt;&gt;"Closed","",DATE(YEAR(P318),MONTH(P318),1))</f>
        <v/>
      </c>
      <c r="AI318" s="19" t="str">
        <f aca="false">IF(U318&lt;&gt;"Closed","",COUNTIFS($U$7:$U$506,"Closed",$P$7:$P$506,"&lt;"&amp;P318)+COUNTIFS($U$7:U318,"Closed",$P$7:P318,P318))</f>
        <v/>
      </c>
    </row>
    <row r="319" customFormat="false" ht="15" hidden="false" customHeight="false" outlineLevel="0" collapsed="false">
      <c r="A319" s="13"/>
      <c r="B319" s="14"/>
      <c r="C319" s="14"/>
      <c r="D319" s="14"/>
      <c r="E319" s="15"/>
      <c r="F319" s="15"/>
      <c r="G319" s="16"/>
      <c r="H319" s="17"/>
      <c r="I319" s="17"/>
      <c r="J319" s="17"/>
      <c r="K319" s="17"/>
      <c r="L319" s="16"/>
      <c r="M319" s="17"/>
      <c r="N319" s="16"/>
      <c r="O319" s="17"/>
      <c r="P319" s="15"/>
      <c r="Q319" s="17"/>
      <c r="R319" s="17"/>
      <c r="S319" s="17"/>
      <c r="T319" s="17"/>
      <c r="U319" s="18" t="str">
        <f aca="false">IF(A319="","",IF(N(G319)-N(L319)-N(N319)&lt;0,"Check shares",IF(AND(P319&lt;&gt;"",Q319&lt;&gt;""),"Closed","Open")))</f>
        <v/>
      </c>
      <c r="V319" s="19" t="str">
        <f aca="false">IF(OR(F319="",P319=""),"",NETWORKDAYS(F319,P319,Lists!$F$5:$F$40)-1)</f>
        <v/>
      </c>
      <c r="W319" s="18" t="str">
        <f aca="false">IF(V319="","",IF(V319=0,"Same day","Overnight"))</f>
        <v/>
      </c>
      <c r="X319" s="18" t="str">
        <f aca="false">IF(OR(E319="",F319=""),"",IF(AND(E319&gt;=F319,OR(P319="",E319&lt;=P319)),"Yes","No"))</f>
        <v/>
      </c>
      <c r="Y319" s="20" t="str">
        <f aca="false">IF(A319="","",N(G319)-N(L319)-N(N319))</f>
        <v/>
      </c>
      <c r="Z319" s="21" t="str">
        <f aca="false">IF(OR(G319="",H319="",I319=""),"",ABS(H319-I319)*G319)</f>
        <v/>
      </c>
      <c r="AA319" s="22" t="str">
        <f aca="false">IF(OR(J319="",N(Z319)=0),"",ABS(J319-H319)/ABS(H319-I319))</f>
        <v/>
      </c>
      <c r="AB319" s="23" t="str">
        <f aca="false">IF(U319&lt;&gt;"Closed","",(N(L319)*N(M319)+N(N319)*N(O319)+Y319*Q319)/G319)</f>
        <v/>
      </c>
      <c r="AC319" s="24" t="str">
        <f aca="false">IF(U319&lt;&gt;"Closed","",IF($B319="Short",-1,1)*((N(M319)-H319)*N(L319)+(N(O319)-H319)*N(N319)+(Q319-H319)*Y319)-N(R319))</f>
        <v/>
      </c>
      <c r="AD319" s="25" t="str">
        <f aca="false">IF(OR(AC319="",N(Z319)=0),"",AC319/Z319)</f>
        <v/>
      </c>
      <c r="AE319" s="25" t="str">
        <f aca="false">IF(OR(S319="",N(Z319)=0),"",IF($B319="Short",-1,1)*(S319-H319)*G319/Z319)</f>
        <v/>
      </c>
      <c r="AF319" s="25" t="str">
        <f aca="false">IF(OR(T319="",N(Z319)=0),"",IF($B319="Short",-1,1)*(T319-H319)*G319/Z319)</f>
        <v/>
      </c>
      <c r="AG319" s="21" t="str">
        <f aca="false">IF(U319&lt;&gt;"Open","",Y319*MAX(0,IF($B319="Short",-1,1)*(H319-IF(K319="",I319,K319))))</f>
        <v/>
      </c>
      <c r="AH319" s="26" t="str">
        <f aca="false">IF(U319&lt;&gt;"Closed","",DATE(YEAR(P319),MONTH(P319),1))</f>
        <v/>
      </c>
      <c r="AI319" s="19" t="str">
        <f aca="false">IF(U319&lt;&gt;"Closed","",COUNTIFS($U$7:$U$506,"Closed",$P$7:$P$506,"&lt;"&amp;P319)+COUNTIFS($U$7:U319,"Closed",$P$7:P319,P319))</f>
        <v/>
      </c>
    </row>
    <row r="320" customFormat="false" ht="15" hidden="false" customHeight="false" outlineLevel="0" collapsed="false">
      <c r="A320" s="13"/>
      <c r="B320" s="14"/>
      <c r="C320" s="14"/>
      <c r="D320" s="14"/>
      <c r="E320" s="15"/>
      <c r="F320" s="15"/>
      <c r="G320" s="16"/>
      <c r="H320" s="17"/>
      <c r="I320" s="17"/>
      <c r="J320" s="17"/>
      <c r="K320" s="17"/>
      <c r="L320" s="16"/>
      <c r="M320" s="17"/>
      <c r="N320" s="16"/>
      <c r="O320" s="17"/>
      <c r="P320" s="15"/>
      <c r="Q320" s="17"/>
      <c r="R320" s="17"/>
      <c r="S320" s="17"/>
      <c r="T320" s="17"/>
      <c r="U320" s="18" t="str">
        <f aca="false">IF(A320="","",IF(N(G320)-N(L320)-N(N320)&lt;0,"Check shares",IF(AND(P320&lt;&gt;"",Q320&lt;&gt;""),"Closed","Open")))</f>
        <v/>
      </c>
      <c r="V320" s="19" t="str">
        <f aca="false">IF(OR(F320="",P320=""),"",NETWORKDAYS(F320,P320,Lists!$F$5:$F$40)-1)</f>
        <v/>
      </c>
      <c r="W320" s="18" t="str">
        <f aca="false">IF(V320="","",IF(V320=0,"Same day","Overnight"))</f>
        <v/>
      </c>
      <c r="X320" s="18" t="str">
        <f aca="false">IF(OR(E320="",F320=""),"",IF(AND(E320&gt;=F320,OR(P320="",E320&lt;=P320)),"Yes","No"))</f>
        <v/>
      </c>
      <c r="Y320" s="20" t="str">
        <f aca="false">IF(A320="","",N(G320)-N(L320)-N(N320))</f>
        <v/>
      </c>
      <c r="Z320" s="21" t="str">
        <f aca="false">IF(OR(G320="",H320="",I320=""),"",ABS(H320-I320)*G320)</f>
        <v/>
      </c>
      <c r="AA320" s="22" t="str">
        <f aca="false">IF(OR(J320="",N(Z320)=0),"",ABS(J320-H320)/ABS(H320-I320))</f>
        <v/>
      </c>
      <c r="AB320" s="23" t="str">
        <f aca="false">IF(U320&lt;&gt;"Closed","",(N(L320)*N(M320)+N(N320)*N(O320)+Y320*Q320)/G320)</f>
        <v/>
      </c>
      <c r="AC320" s="24" t="str">
        <f aca="false">IF(U320&lt;&gt;"Closed","",IF($B320="Short",-1,1)*((N(M320)-H320)*N(L320)+(N(O320)-H320)*N(N320)+(Q320-H320)*Y320)-N(R320))</f>
        <v/>
      </c>
      <c r="AD320" s="25" t="str">
        <f aca="false">IF(OR(AC320="",N(Z320)=0),"",AC320/Z320)</f>
        <v/>
      </c>
      <c r="AE320" s="25" t="str">
        <f aca="false">IF(OR(S320="",N(Z320)=0),"",IF($B320="Short",-1,1)*(S320-H320)*G320/Z320)</f>
        <v/>
      </c>
      <c r="AF320" s="25" t="str">
        <f aca="false">IF(OR(T320="",N(Z320)=0),"",IF($B320="Short",-1,1)*(T320-H320)*G320/Z320)</f>
        <v/>
      </c>
      <c r="AG320" s="21" t="str">
        <f aca="false">IF(U320&lt;&gt;"Open","",Y320*MAX(0,IF($B320="Short",-1,1)*(H320-IF(K320="",I320,K320))))</f>
        <v/>
      </c>
      <c r="AH320" s="26" t="str">
        <f aca="false">IF(U320&lt;&gt;"Closed","",DATE(YEAR(P320),MONTH(P320),1))</f>
        <v/>
      </c>
      <c r="AI320" s="19" t="str">
        <f aca="false">IF(U320&lt;&gt;"Closed","",COUNTIFS($U$7:$U$506,"Closed",$P$7:$P$506,"&lt;"&amp;P320)+COUNTIFS($U$7:U320,"Closed",$P$7:P320,P320))</f>
        <v/>
      </c>
    </row>
    <row r="321" customFormat="false" ht="15" hidden="false" customHeight="false" outlineLevel="0" collapsed="false">
      <c r="A321" s="13"/>
      <c r="B321" s="14"/>
      <c r="C321" s="14"/>
      <c r="D321" s="14"/>
      <c r="E321" s="15"/>
      <c r="F321" s="15"/>
      <c r="G321" s="16"/>
      <c r="H321" s="17"/>
      <c r="I321" s="17"/>
      <c r="J321" s="17"/>
      <c r="K321" s="17"/>
      <c r="L321" s="16"/>
      <c r="M321" s="17"/>
      <c r="N321" s="16"/>
      <c r="O321" s="17"/>
      <c r="P321" s="15"/>
      <c r="Q321" s="17"/>
      <c r="R321" s="17"/>
      <c r="S321" s="17"/>
      <c r="T321" s="17"/>
      <c r="U321" s="18" t="str">
        <f aca="false">IF(A321="","",IF(N(G321)-N(L321)-N(N321)&lt;0,"Check shares",IF(AND(P321&lt;&gt;"",Q321&lt;&gt;""),"Closed","Open")))</f>
        <v/>
      </c>
      <c r="V321" s="19" t="str">
        <f aca="false">IF(OR(F321="",P321=""),"",NETWORKDAYS(F321,P321,Lists!$F$5:$F$40)-1)</f>
        <v/>
      </c>
      <c r="W321" s="18" t="str">
        <f aca="false">IF(V321="","",IF(V321=0,"Same day","Overnight"))</f>
        <v/>
      </c>
      <c r="X321" s="18" t="str">
        <f aca="false">IF(OR(E321="",F321=""),"",IF(AND(E321&gt;=F321,OR(P321="",E321&lt;=P321)),"Yes","No"))</f>
        <v/>
      </c>
      <c r="Y321" s="20" t="str">
        <f aca="false">IF(A321="","",N(G321)-N(L321)-N(N321))</f>
        <v/>
      </c>
      <c r="Z321" s="21" t="str">
        <f aca="false">IF(OR(G321="",H321="",I321=""),"",ABS(H321-I321)*G321)</f>
        <v/>
      </c>
      <c r="AA321" s="22" t="str">
        <f aca="false">IF(OR(J321="",N(Z321)=0),"",ABS(J321-H321)/ABS(H321-I321))</f>
        <v/>
      </c>
      <c r="AB321" s="23" t="str">
        <f aca="false">IF(U321&lt;&gt;"Closed","",(N(L321)*N(M321)+N(N321)*N(O321)+Y321*Q321)/G321)</f>
        <v/>
      </c>
      <c r="AC321" s="24" t="str">
        <f aca="false">IF(U321&lt;&gt;"Closed","",IF($B321="Short",-1,1)*((N(M321)-H321)*N(L321)+(N(O321)-H321)*N(N321)+(Q321-H321)*Y321)-N(R321))</f>
        <v/>
      </c>
      <c r="AD321" s="25" t="str">
        <f aca="false">IF(OR(AC321="",N(Z321)=0),"",AC321/Z321)</f>
        <v/>
      </c>
      <c r="AE321" s="25" t="str">
        <f aca="false">IF(OR(S321="",N(Z321)=0),"",IF($B321="Short",-1,1)*(S321-H321)*G321/Z321)</f>
        <v/>
      </c>
      <c r="AF321" s="25" t="str">
        <f aca="false">IF(OR(T321="",N(Z321)=0),"",IF($B321="Short",-1,1)*(T321-H321)*G321/Z321)</f>
        <v/>
      </c>
      <c r="AG321" s="21" t="str">
        <f aca="false">IF(U321&lt;&gt;"Open","",Y321*MAX(0,IF($B321="Short",-1,1)*(H321-IF(K321="",I321,K321))))</f>
        <v/>
      </c>
      <c r="AH321" s="26" t="str">
        <f aca="false">IF(U321&lt;&gt;"Closed","",DATE(YEAR(P321),MONTH(P321),1))</f>
        <v/>
      </c>
      <c r="AI321" s="19" t="str">
        <f aca="false">IF(U321&lt;&gt;"Closed","",COUNTIFS($U$7:$U$506,"Closed",$P$7:$P$506,"&lt;"&amp;P321)+COUNTIFS($U$7:U321,"Closed",$P$7:P321,P321))</f>
        <v/>
      </c>
    </row>
    <row r="322" customFormat="false" ht="15" hidden="false" customHeight="false" outlineLevel="0" collapsed="false">
      <c r="A322" s="13"/>
      <c r="B322" s="14"/>
      <c r="C322" s="14"/>
      <c r="D322" s="14"/>
      <c r="E322" s="15"/>
      <c r="F322" s="15"/>
      <c r="G322" s="16"/>
      <c r="H322" s="17"/>
      <c r="I322" s="17"/>
      <c r="J322" s="17"/>
      <c r="K322" s="17"/>
      <c r="L322" s="16"/>
      <c r="M322" s="17"/>
      <c r="N322" s="16"/>
      <c r="O322" s="17"/>
      <c r="P322" s="15"/>
      <c r="Q322" s="17"/>
      <c r="R322" s="17"/>
      <c r="S322" s="17"/>
      <c r="T322" s="17"/>
      <c r="U322" s="18" t="str">
        <f aca="false">IF(A322="","",IF(N(G322)-N(L322)-N(N322)&lt;0,"Check shares",IF(AND(P322&lt;&gt;"",Q322&lt;&gt;""),"Closed","Open")))</f>
        <v/>
      </c>
      <c r="V322" s="19" t="str">
        <f aca="false">IF(OR(F322="",P322=""),"",NETWORKDAYS(F322,P322,Lists!$F$5:$F$40)-1)</f>
        <v/>
      </c>
      <c r="W322" s="18" t="str">
        <f aca="false">IF(V322="","",IF(V322=0,"Same day","Overnight"))</f>
        <v/>
      </c>
      <c r="X322" s="18" t="str">
        <f aca="false">IF(OR(E322="",F322=""),"",IF(AND(E322&gt;=F322,OR(P322="",E322&lt;=P322)),"Yes","No"))</f>
        <v/>
      </c>
      <c r="Y322" s="20" t="str">
        <f aca="false">IF(A322="","",N(G322)-N(L322)-N(N322))</f>
        <v/>
      </c>
      <c r="Z322" s="21" t="str">
        <f aca="false">IF(OR(G322="",H322="",I322=""),"",ABS(H322-I322)*G322)</f>
        <v/>
      </c>
      <c r="AA322" s="22" t="str">
        <f aca="false">IF(OR(J322="",N(Z322)=0),"",ABS(J322-H322)/ABS(H322-I322))</f>
        <v/>
      </c>
      <c r="AB322" s="23" t="str">
        <f aca="false">IF(U322&lt;&gt;"Closed","",(N(L322)*N(M322)+N(N322)*N(O322)+Y322*Q322)/G322)</f>
        <v/>
      </c>
      <c r="AC322" s="24" t="str">
        <f aca="false">IF(U322&lt;&gt;"Closed","",IF($B322="Short",-1,1)*((N(M322)-H322)*N(L322)+(N(O322)-H322)*N(N322)+(Q322-H322)*Y322)-N(R322))</f>
        <v/>
      </c>
      <c r="AD322" s="25" t="str">
        <f aca="false">IF(OR(AC322="",N(Z322)=0),"",AC322/Z322)</f>
        <v/>
      </c>
      <c r="AE322" s="25" t="str">
        <f aca="false">IF(OR(S322="",N(Z322)=0),"",IF($B322="Short",-1,1)*(S322-H322)*G322/Z322)</f>
        <v/>
      </c>
      <c r="AF322" s="25" t="str">
        <f aca="false">IF(OR(T322="",N(Z322)=0),"",IF($B322="Short",-1,1)*(T322-H322)*G322/Z322)</f>
        <v/>
      </c>
      <c r="AG322" s="21" t="str">
        <f aca="false">IF(U322&lt;&gt;"Open","",Y322*MAX(0,IF($B322="Short",-1,1)*(H322-IF(K322="",I322,K322))))</f>
        <v/>
      </c>
      <c r="AH322" s="26" t="str">
        <f aca="false">IF(U322&lt;&gt;"Closed","",DATE(YEAR(P322),MONTH(P322),1))</f>
        <v/>
      </c>
      <c r="AI322" s="19" t="str">
        <f aca="false">IF(U322&lt;&gt;"Closed","",COUNTIFS($U$7:$U$506,"Closed",$P$7:$P$506,"&lt;"&amp;P322)+COUNTIFS($U$7:U322,"Closed",$P$7:P322,P322))</f>
        <v/>
      </c>
    </row>
    <row r="323" customFormat="false" ht="15" hidden="false" customHeight="false" outlineLevel="0" collapsed="false">
      <c r="A323" s="13"/>
      <c r="B323" s="14"/>
      <c r="C323" s="14"/>
      <c r="D323" s="14"/>
      <c r="E323" s="15"/>
      <c r="F323" s="15"/>
      <c r="G323" s="16"/>
      <c r="H323" s="17"/>
      <c r="I323" s="17"/>
      <c r="J323" s="17"/>
      <c r="K323" s="17"/>
      <c r="L323" s="16"/>
      <c r="M323" s="17"/>
      <c r="N323" s="16"/>
      <c r="O323" s="17"/>
      <c r="P323" s="15"/>
      <c r="Q323" s="17"/>
      <c r="R323" s="17"/>
      <c r="S323" s="17"/>
      <c r="T323" s="17"/>
      <c r="U323" s="18" t="str">
        <f aca="false">IF(A323="","",IF(N(G323)-N(L323)-N(N323)&lt;0,"Check shares",IF(AND(P323&lt;&gt;"",Q323&lt;&gt;""),"Closed","Open")))</f>
        <v/>
      </c>
      <c r="V323" s="19" t="str">
        <f aca="false">IF(OR(F323="",P323=""),"",NETWORKDAYS(F323,P323,Lists!$F$5:$F$40)-1)</f>
        <v/>
      </c>
      <c r="W323" s="18" t="str">
        <f aca="false">IF(V323="","",IF(V323=0,"Same day","Overnight"))</f>
        <v/>
      </c>
      <c r="X323" s="18" t="str">
        <f aca="false">IF(OR(E323="",F323=""),"",IF(AND(E323&gt;=F323,OR(P323="",E323&lt;=P323)),"Yes","No"))</f>
        <v/>
      </c>
      <c r="Y323" s="20" t="str">
        <f aca="false">IF(A323="","",N(G323)-N(L323)-N(N323))</f>
        <v/>
      </c>
      <c r="Z323" s="21" t="str">
        <f aca="false">IF(OR(G323="",H323="",I323=""),"",ABS(H323-I323)*G323)</f>
        <v/>
      </c>
      <c r="AA323" s="22" t="str">
        <f aca="false">IF(OR(J323="",N(Z323)=0),"",ABS(J323-H323)/ABS(H323-I323))</f>
        <v/>
      </c>
      <c r="AB323" s="23" t="str">
        <f aca="false">IF(U323&lt;&gt;"Closed","",(N(L323)*N(M323)+N(N323)*N(O323)+Y323*Q323)/G323)</f>
        <v/>
      </c>
      <c r="AC323" s="24" t="str">
        <f aca="false">IF(U323&lt;&gt;"Closed","",IF($B323="Short",-1,1)*((N(M323)-H323)*N(L323)+(N(O323)-H323)*N(N323)+(Q323-H323)*Y323)-N(R323))</f>
        <v/>
      </c>
      <c r="AD323" s="25" t="str">
        <f aca="false">IF(OR(AC323="",N(Z323)=0),"",AC323/Z323)</f>
        <v/>
      </c>
      <c r="AE323" s="25" t="str">
        <f aca="false">IF(OR(S323="",N(Z323)=0),"",IF($B323="Short",-1,1)*(S323-H323)*G323/Z323)</f>
        <v/>
      </c>
      <c r="AF323" s="25" t="str">
        <f aca="false">IF(OR(T323="",N(Z323)=0),"",IF($B323="Short",-1,1)*(T323-H323)*G323/Z323)</f>
        <v/>
      </c>
      <c r="AG323" s="21" t="str">
        <f aca="false">IF(U323&lt;&gt;"Open","",Y323*MAX(0,IF($B323="Short",-1,1)*(H323-IF(K323="",I323,K323))))</f>
        <v/>
      </c>
      <c r="AH323" s="26" t="str">
        <f aca="false">IF(U323&lt;&gt;"Closed","",DATE(YEAR(P323),MONTH(P323),1))</f>
        <v/>
      </c>
      <c r="AI323" s="19" t="str">
        <f aca="false">IF(U323&lt;&gt;"Closed","",COUNTIFS($U$7:$U$506,"Closed",$P$7:$P$506,"&lt;"&amp;P323)+COUNTIFS($U$7:U323,"Closed",$P$7:P323,P323))</f>
        <v/>
      </c>
    </row>
    <row r="324" customFormat="false" ht="15" hidden="false" customHeight="false" outlineLevel="0" collapsed="false">
      <c r="A324" s="13"/>
      <c r="B324" s="14"/>
      <c r="C324" s="14"/>
      <c r="D324" s="14"/>
      <c r="E324" s="15"/>
      <c r="F324" s="15"/>
      <c r="G324" s="16"/>
      <c r="H324" s="17"/>
      <c r="I324" s="17"/>
      <c r="J324" s="17"/>
      <c r="K324" s="17"/>
      <c r="L324" s="16"/>
      <c r="M324" s="17"/>
      <c r="N324" s="16"/>
      <c r="O324" s="17"/>
      <c r="P324" s="15"/>
      <c r="Q324" s="17"/>
      <c r="R324" s="17"/>
      <c r="S324" s="17"/>
      <c r="T324" s="17"/>
      <c r="U324" s="18" t="str">
        <f aca="false">IF(A324="","",IF(N(G324)-N(L324)-N(N324)&lt;0,"Check shares",IF(AND(P324&lt;&gt;"",Q324&lt;&gt;""),"Closed","Open")))</f>
        <v/>
      </c>
      <c r="V324" s="19" t="str">
        <f aca="false">IF(OR(F324="",P324=""),"",NETWORKDAYS(F324,P324,Lists!$F$5:$F$40)-1)</f>
        <v/>
      </c>
      <c r="W324" s="18" t="str">
        <f aca="false">IF(V324="","",IF(V324=0,"Same day","Overnight"))</f>
        <v/>
      </c>
      <c r="X324" s="18" t="str">
        <f aca="false">IF(OR(E324="",F324=""),"",IF(AND(E324&gt;=F324,OR(P324="",E324&lt;=P324)),"Yes","No"))</f>
        <v/>
      </c>
      <c r="Y324" s="20" t="str">
        <f aca="false">IF(A324="","",N(G324)-N(L324)-N(N324))</f>
        <v/>
      </c>
      <c r="Z324" s="21" t="str">
        <f aca="false">IF(OR(G324="",H324="",I324=""),"",ABS(H324-I324)*G324)</f>
        <v/>
      </c>
      <c r="AA324" s="22" t="str">
        <f aca="false">IF(OR(J324="",N(Z324)=0),"",ABS(J324-H324)/ABS(H324-I324))</f>
        <v/>
      </c>
      <c r="AB324" s="23" t="str">
        <f aca="false">IF(U324&lt;&gt;"Closed","",(N(L324)*N(M324)+N(N324)*N(O324)+Y324*Q324)/G324)</f>
        <v/>
      </c>
      <c r="AC324" s="24" t="str">
        <f aca="false">IF(U324&lt;&gt;"Closed","",IF($B324="Short",-1,1)*((N(M324)-H324)*N(L324)+(N(O324)-H324)*N(N324)+(Q324-H324)*Y324)-N(R324))</f>
        <v/>
      </c>
      <c r="AD324" s="25" t="str">
        <f aca="false">IF(OR(AC324="",N(Z324)=0),"",AC324/Z324)</f>
        <v/>
      </c>
      <c r="AE324" s="25" t="str">
        <f aca="false">IF(OR(S324="",N(Z324)=0),"",IF($B324="Short",-1,1)*(S324-H324)*G324/Z324)</f>
        <v/>
      </c>
      <c r="AF324" s="25" t="str">
        <f aca="false">IF(OR(T324="",N(Z324)=0),"",IF($B324="Short",-1,1)*(T324-H324)*G324/Z324)</f>
        <v/>
      </c>
      <c r="AG324" s="21" t="str">
        <f aca="false">IF(U324&lt;&gt;"Open","",Y324*MAX(0,IF($B324="Short",-1,1)*(H324-IF(K324="",I324,K324))))</f>
        <v/>
      </c>
      <c r="AH324" s="26" t="str">
        <f aca="false">IF(U324&lt;&gt;"Closed","",DATE(YEAR(P324),MONTH(P324),1))</f>
        <v/>
      </c>
      <c r="AI324" s="19" t="str">
        <f aca="false">IF(U324&lt;&gt;"Closed","",COUNTIFS($U$7:$U$506,"Closed",$P$7:$P$506,"&lt;"&amp;P324)+COUNTIFS($U$7:U324,"Closed",$P$7:P324,P324))</f>
        <v/>
      </c>
    </row>
    <row r="325" customFormat="false" ht="15" hidden="false" customHeight="false" outlineLevel="0" collapsed="false">
      <c r="A325" s="13"/>
      <c r="B325" s="14"/>
      <c r="C325" s="14"/>
      <c r="D325" s="14"/>
      <c r="E325" s="15"/>
      <c r="F325" s="15"/>
      <c r="G325" s="16"/>
      <c r="H325" s="17"/>
      <c r="I325" s="17"/>
      <c r="J325" s="17"/>
      <c r="K325" s="17"/>
      <c r="L325" s="16"/>
      <c r="M325" s="17"/>
      <c r="N325" s="16"/>
      <c r="O325" s="17"/>
      <c r="P325" s="15"/>
      <c r="Q325" s="17"/>
      <c r="R325" s="17"/>
      <c r="S325" s="17"/>
      <c r="T325" s="17"/>
      <c r="U325" s="18" t="str">
        <f aca="false">IF(A325="","",IF(N(G325)-N(L325)-N(N325)&lt;0,"Check shares",IF(AND(P325&lt;&gt;"",Q325&lt;&gt;""),"Closed","Open")))</f>
        <v/>
      </c>
      <c r="V325" s="19" t="str">
        <f aca="false">IF(OR(F325="",P325=""),"",NETWORKDAYS(F325,P325,Lists!$F$5:$F$40)-1)</f>
        <v/>
      </c>
      <c r="W325" s="18" t="str">
        <f aca="false">IF(V325="","",IF(V325=0,"Same day","Overnight"))</f>
        <v/>
      </c>
      <c r="X325" s="18" t="str">
        <f aca="false">IF(OR(E325="",F325=""),"",IF(AND(E325&gt;=F325,OR(P325="",E325&lt;=P325)),"Yes","No"))</f>
        <v/>
      </c>
      <c r="Y325" s="20" t="str">
        <f aca="false">IF(A325="","",N(G325)-N(L325)-N(N325))</f>
        <v/>
      </c>
      <c r="Z325" s="21" t="str">
        <f aca="false">IF(OR(G325="",H325="",I325=""),"",ABS(H325-I325)*G325)</f>
        <v/>
      </c>
      <c r="AA325" s="22" t="str">
        <f aca="false">IF(OR(J325="",N(Z325)=0),"",ABS(J325-H325)/ABS(H325-I325))</f>
        <v/>
      </c>
      <c r="AB325" s="23" t="str">
        <f aca="false">IF(U325&lt;&gt;"Closed","",(N(L325)*N(M325)+N(N325)*N(O325)+Y325*Q325)/G325)</f>
        <v/>
      </c>
      <c r="AC325" s="24" t="str">
        <f aca="false">IF(U325&lt;&gt;"Closed","",IF($B325="Short",-1,1)*((N(M325)-H325)*N(L325)+(N(O325)-H325)*N(N325)+(Q325-H325)*Y325)-N(R325))</f>
        <v/>
      </c>
      <c r="AD325" s="25" t="str">
        <f aca="false">IF(OR(AC325="",N(Z325)=0),"",AC325/Z325)</f>
        <v/>
      </c>
      <c r="AE325" s="25" t="str">
        <f aca="false">IF(OR(S325="",N(Z325)=0),"",IF($B325="Short",-1,1)*(S325-H325)*G325/Z325)</f>
        <v/>
      </c>
      <c r="AF325" s="25" t="str">
        <f aca="false">IF(OR(T325="",N(Z325)=0),"",IF($B325="Short",-1,1)*(T325-H325)*G325/Z325)</f>
        <v/>
      </c>
      <c r="AG325" s="21" t="str">
        <f aca="false">IF(U325&lt;&gt;"Open","",Y325*MAX(0,IF($B325="Short",-1,1)*(H325-IF(K325="",I325,K325))))</f>
        <v/>
      </c>
      <c r="AH325" s="26" t="str">
        <f aca="false">IF(U325&lt;&gt;"Closed","",DATE(YEAR(P325),MONTH(P325),1))</f>
        <v/>
      </c>
      <c r="AI325" s="19" t="str">
        <f aca="false">IF(U325&lt;&gt;"Closed","",COUNTIFS($U$7:$U$506,"Closed",$P$7:$P$506,"&lt;"&amp;P325)+COUNTIFS($U$7:U325,"Closed",$P$7:P325,P325))</f>
        <v/>
      </c>
    </row>
    <row r="326" customFormat="false" ht="15" hidden="false" customHeight="false" outlineLevel="0" collapsed="false">
      <c r="A326" s="13"/>
      <c r="B326" s="14"/>
      <c r="C326" s="14"/>
      <c r="D326" s="14"/>
      <c r="E326" s="15"/>
      <c r="F326" s="15"/>
      <c r="G326" s="16"/>
      <c r="H326" s="17"/>
      <c r="I326" s="17"/>
      <c r="J326" s="17"/>
      <c r="K326" s="17"/>
      <c r="L326" s="16"/>
      <c r="M326" s="17"/>
      <c r="N326" s="16"/>
      <c r="O326" s="17"/>
      <c r="P326" s="15"/>
      <c r="Q326" s="17"/>
      <c r="R326" s="17"/>
      <c r="S326" s="17"/>
      <c r="T326" s="17"/>
      <c r="U326" s="18" t="str">
        <f aca="false">IF(A326="","",IF(N(G326)-N(L326)-N(N326)&lt;0,"Check shares",IF(AND(P326&lt;&gt;"",Q326&lt;&gt;""),"Closed","Open")))</f>
        <v/>
      </c>
      <c r="V326" s="19" t="str">
        <f aca="false">IF(OR(F326="",P326=""),"",NETWORKDAYS(F326,P326,Lists!$F$5:$F$40)-1)</f>
        <v/>
      </c>
      <c r="W326" s="18" t="str">
        <f aca="false">IF(V326="","",IF(V326=0,"Same day","Overnight"))</f>
        <v/>
      </c>
      <c r="X326" s="18" t="str">
        <f aca="false">IF(OR(E326="",F326=""),"",IF(AND(E326&gt;=F326,OR(P326="",E326&lt;=P326)),"Yes","No"))</f>
        <v/>
      </c>
      <c r="Y326" s="20" t="str">
        <f aca="false">IF(A326="","",N(G326)-N(L326)-N(N326))</f>
        <v/>
      </c>
      <c r="Z326" s="21" t="str">
        <f aca="false">IF(OR(G326="",H326="",I326=""),"",ABS(H326-I326)*G326)</f>
        <v/>
      </c>
      <c r="AA326" s="22" t="str">
        <f aca="false">IF(OR(J326="",N(Z326)=0),"",ABS(J326-H326)/ABS(H326-I326))</f>
        <v/>
      </c>
      <c r="AB326" s="23" t="str">
        <f aca="false">IF(U326&lt;&gt;"Closed","",(N(L326)*N(M326)+N(N326)*N(O326)+Y326*Q326)/G326)</f>
        <v/>
      </c>
      <c r="AC326" s="24" t="str">
        <f aca="false">IF(U326&lt;&gt;"Closed","",IF($B326="Short",-1,1)*((N(M326)-H326)*N(L326)+(N(O326)-H326)*N(N326)+(Q326-H326)*Y326)-N(R326))</f>
        <v/>
      </c>
      <c r="AD326" s="25" t="str">
        <f aca="false">IF(OR(AC326="",N(Z326)=0),"",AC326/Z326)</f>
        <v/>
      </c>
      <c r="AE326" s="25" t="str">
        <f aca="false">IF(OR(S326="",N(Z326)=0),"",IF($B326="Short",-1,1)*(S326-H326)*G326/Z326)</f>
        <v/>
      </c>
      <c r="AF326" s="25" t="str">
        <f aca="false">IF(OR(T326="",N(Z326)=0),"",IF($B326="Short",-1,1)*(T326-H326)*G326/Z326)</f>
        <v/>
      </c>
      <c r="AG326" s="21" t="str">
        <f aca="false">IF(U326&lt;&gt;"Open","",Y326*MAX(0,IF($B326="Short",-1,1)*(H326-IF(K326="",I326,K326))))</f>
        <v/>
      </c>
      <c r="AH326" s="26" t="str">
        <f aca="false">IF(U326&lt;&gt;"Closed","",DATE(YEAR(P326),MONTH(P326),1))</f>
        <v/>
      </c>
      <c r="AI326" s="19" t="str">
        <f aca="false">IF(U326&lt;&gt;"Closed","",COUNTIFS($U$7:$U$506,"Closed",$P$7:$P$506,"&lt;"&amp;P326)+COUNTIFS($U$7:U326,"Closed",$P$7:P326,P326))</f>
        <v/>
      </c>
    </row>
    <row r="327" customFormat="false" ht="15" hidden="false" customHeight="false" outlineLevel="0" collapsed="false">
      <c r="A327" s="13"/>
      <c r="B327" s="14"/>
      <c r="C327" s="14"/>
      <c r="D327" s="14"/>
      <c r="E327" s="15"/>
      <c r="F327" s="15"/>
      <c r="G327" s="16"/>
      <c r="H327" s="17"/>
      <c r="I327" s="17"/>
      <c r="J327" s="17"/>
      <c r="K327" s="17"/>
      <c r="L327" s="16"/>
      <c r="M327" s="17"/>
      <c r="N327" s="16"/>
      <c r="O327" s="17"/>
      <c r="P327" s="15"/>
      <c r="Q327" s="17"/>
      <c r="R327" s="17"/>
      <c r="S327" s="17"/>
      <c r="T327" s="17"/>
      <c r="U327" s="18" t="str">
        <f aca="false">IF(A327="","",IF(N(G327)-N(L327)-N(N327)&lt;0,"Check shares",IF(AND(P327&lt;&gt;"",Q327&lt;&gt;""),"Closed","Open")))</f>
        <v/>
      </c>
      <c r="V327" s="19" t="str">
        <f aca="false">IF(OR(F327="",P327=""),"",NETWORKDAYS(F327,P327,Lists!$F$5:$F$40)-1)</f>
        <v/>
      </c>
      <c r="W327" s="18" t="str">
        <f aca="false">IF(V327="","",IF(V327=0,"Same day","Overnight"))</f>
        <v/>
      </c>
      <c r="X327" s="18" t="str">
        <f aca="false">IF(OR(E327="",F327=""),"",IF(AND(E327&gt;=F327,OR(P327="",E327&lt;=P327)),"Yes","No"))</f>
        <v/>
      </c>
      <c r="Y327" s="20" t="str">
        <f aca="false">IF(A327="","",N(G327)-N(L327)-N(N327))</f>
        <v/>
      </c>
      <c r="Z327" s="21" t="str">
        <f aca="false">IF(OR(G327="",H327="",I327=""),"",ABS(H327-I327)*G327)</f>
        <v/>
      </c>
      <c r="AA327" s="22" t="str">
        <f aca="false">IF(OR(J327="",N(Z327)=0),"",ABS(J327-H327)/ABS(H327-I327))</f>
        <v/>
      </c>
      <c r="AB327" s="23" t="str">
        <f aca="false">IF(U327&lt;&gt;"Closed","",(N(L327)*N(M327)+N(N327)*N(O327)+Y327*Q327)/G327)</f>
        <v/>
      </c>
      <c r="AC327" s="24" t="str">
        <f aca="false">IF(U327&lt;&gt;"Closed","",IF($B327="Short",-1,1)*((N(M327)-H327)*N(L327)+(N(O327)-H327)*N(N327)+(Q327-H327)*Y327)-N(R327))</f>
        <v/>
      </c>
      <c r="AD327" s="25" t="str">
        <f aca="false">IF(OR(AC327="",N(Z327)=0),"",AC327/Z327)</f>
        <v/>
      </c>
      <c r="AE327" s="25" t="str">
        <f aca="false">IF(OR(S327="",N(Z327)=0),"",IF($B327="Short",-1,1)*(S327-H327)*G327/Z327)</f>
        <v/>
      </c>
      <c r="AF327" s="25" t="str">
        <f aca="false">IF(OR(T327="",N(Z327)=0),"",IF($B327="Short",-1,1)*(T327-H327)*G327/Z327)</f>
        <v/>
      </c>
      <c r="AG327" s="21" t="str">
        <f aca="false">IF(U327&lt;&gt;"Open","",Y327*MAX(0,IF($B327="Short",-1,1)*(H327-IF(K327="",I327,K327))))</f>
        <v/>
      </c>
      <c r="AH327" s="26" t="str">
        <f aca="false">IF(U327&lt;&gt;"Closed","",DATE(YEAR(P327),MONTH(P327),1))</f>
        <v/>
      </c>
      <c r="AI327" s="19" t="str">
        <f aca="false">IF(U327&lt;&gt;"Closed","",COUNTIFS($U$7:$U$506,"Closed",$P$7:$P$506,"&lt;"&amp;P327)+COUNTIFS($U$7:U327,"Closed",$P$7:P327,P327))</f>
        <v/>
      </c>
    </row>
    <row r="328" customFormat="false" ht="15" hidden="false" customHeight="false" outlineLevel="0" collapsed="false">
      <c r="A328" s="13"/>
      <c r="B328" s="14"/>
      <c r="C328" s="14"/>
      <c r="D328" s="14"/>
      <c r="E328" s="15"/>
      <c r="F328" s="15"/>
      <c r="G328" s="16"/>
      <c r="H328" s="17"/>
      <c r="I328" s="17"/>
      <c r="J328" s="17"/>
      <c r="K328" s="17"/>
      <c r="L328" s="16"/>
      <c r="M328" s="17"/>
      <c r="N328" s="16"/>
      <c r="O328" s="17"/>
      <c r="P328" s="15"/>
      <c r="Q328" s="17"/>
      <c r="R328" s="17"/>
      <c r="S328" s="17"/>
      <c r="T328" s="17"/>
      <c r="U328" s="18" t="str">
        <f aca="false">IF(A328="","",IF(N(G328)-N(L328)-N(N328)&lt;0,"Check shares",IF(AND(P328&lt;&gt;"",Q328&lt;&gt;""),"Closed","Open")))</f>
        <v/>
      </c>
      <c r="V328" s="19" t="str">
        <f aca="false">IF(OR(F328="",P328=""),"",NETWORKDAYS(F328,P328,Lists!$F$5:$F$40)-1)</f>
        <v/>
      </c>
      <c r="W328" s="18" t="str">
        <f aca="false">IF(V328="","",IF(V328=0,"Same day","Overnight"))</f>
        <v/>
      </c>
      <c r="X328" s="18" t="str">
        <f aca="false">IF(OR(E328="",F328=""),"",IF(AND(E328&gt;=F328,OR(P328="",E328&lt;=P328)),"Yes","No"))</f>
        <v/>
      </c>
      <c r="Y328" s="20" t="str">
        <f aca="false">IF(A328="","",N(G328)-N(L328)-N(N328))</f>
        <v/>
      </c>
      <c r="Z328" s="21" t="str">
        <f aca="false">IF(OR(G328="",H328="",I328=""),"",ABS(H328-I328)*G328)</f>
        <v/>
      </c>
      <c r="AA328" s="22" t="str">
        <f aca="false">IF(OR(J328="",N(Z328)=0),"",ABS(J328-H328)/ABS(H328-I328))</f>
        <v/>
      </c>
      <c r="AB328" s="23" t="str">
        <f aca="false">IF(U328&lt;&gt;"Closed","",(N(L328)*N(M328)+N(N328)*N(O328)+Y328*Q328)/G328)</f>
        <v/>
      </c>
      <c r="AC328" s="24" t="str">
        <f aca="false">IF(U328&lt;&gt;"Closed","",IF($B328="Short",-1,1)*((N(M328)-H328)*N(L328)+(N(O328)-H328)*N(N328)+(Q328-H328)*Y328)-N(R328))</f>
        <v/>
      </c>
      <c r="AD328" s="25" t="str">
        <f aca="false">IF(OR(AC328="",N(Z328)=0),"",AC328/Z328)</f>
        <v/>
      </c>
      <c r="AE328" s="25" t="str">
        <f aca="false">IF(OR(S328="",N(Z328)=0),"",IF($B328="Short",-1,1)*(S328-H328)*G328/Z328)</f>
        <v/>
      </c>
      <c r="AF328" s="25" t="str">
        <f aca="false">IF(OR(T328="",N(Z328)=0),"",IF($B328="Short",-1,1)*(T328-H328)*G328/Z328)</f>
        <v/>
      </c>
      <c r="AG328" s="21" t="str">
        <f aca="false">IF(U328&lt;&gt;"Open","",Y328*MAX(0,IF($B328="Short",-1,1)*(H328-IF(K328="",I328,K328))))</f>
        <v/>
      </c>
      <c r="AH328" s="26" t="str">
        <f aca="false">IF(U328&lt;&gt;"Closed","",DATE(YEAR(P328),MONTH(P328),1))</f>
        <v/>
      </c>
      <c r="AI328" s="19" t="str">
        <f aca="false">IF(U328&lt;&gt;"Closed","",COUNTIFS($U$7:$U$506,"Closed",$P$7:$P$506,"&lt;"&amp;P328)+COUNTIFS($U$7:U328,"Closed",$P$7:P328,P328))</f>
        <v/>
      </c>
    </row>
    <row r="329" customFormat="false" ht="15" hidden="false" customHeight="false" outlineLevel="0" collapsed="false">
      <c r="A329" s="13"/>
      <c r="B329" s="14"/>
      <c r="C329" s="14"/>
      <c r="D329" s="14"/>
      <c r="E329" s="15"/>
      <c r="F329" s="15"/>
      <c r="G329" s="16"/>
      <c r="H329" s="17"/>
      <c r="I329" s="17"/>
      <c r="J329" s="17"/>
      <c r="K329" s="17"/>
      <c r="L329" s="16"/>
      <c r="M329" s="17"/>
      <c r="N329" s="16"/>
      <c r="O329" s="17"/>
      <c r="P329" s="15"/>
      <c r="Q329" s="17"/>
      <c r="R329" s="17"/>
      <c r="S329" s="17"/>
      <c r="T329" s="17"/>
      <c r="U329" s="18" t="str">
        <f aca="false">IF(A329="","",IF(N(G329)-N(L329)-N(N329)&lt;0,"Check shares",IF(AND(P329&lt;&gt;"",Q329&lt;&gt;""),"Closed","Open")))</f>
        <v/>
      </c>
      <c r="V329" s="19" t="str">
        <f aca="false">IF(OR(F329="",P329=""),"",NETWORKDAYS(F329,P329,Lists!$F$5:$F$40)-1)</f>
        <v/>
      </c>
      <c r="W329" s="18" t="str">
        <f aca="false">IF(V329="","",IF(V329=0,"Same day","Overnight"))</f>
        <v/>
      </c>
      <c r="X329" s="18" t="str">
        <f aca="false">IF(OR(E329="",F329=""),"",IF(AND(E329&gt;=F329,OR(P329="",E329&lt;=P329)),"Yes","No"))</f>
        <v/>
      </c>
      <c r="Y329" s="20" t="str">
        <f aca="false">IF(A329="","",N(G329)-N(L329)-N(N329))</f>
        <v/>
      </c>
      <c r="Z329" s="21" t="str">
        <f aca="false">IF(OR(G329="",H329="",I329=""),"",ABS(H329-I329)*G329)</f>
        <v/>
      </c>
      <c r="AA329" s="22" t="str">
        <f aca="false">IF(OR(J329="",N(Z329)=0),"",ABS(J329-H329)/ABS(H329-I329))</f>
        <v/>
      </c>
      <c r="AB329" s="23" t="str">
        <f aca="false">IF(U329&lt;&gt;"Closed","",(N(L329)*N(M329)+N(N329)*N(O329)+Y329*Q329)/G329)</f>
        <v/>
      </c>
      <c r="AC329" s="24" t="str">
        <f aca="false">IF(U329&lt;&gt;"Closed","",IF($B329="Short",-1,1)*((N(M329)-H329)*N(L329)+(N(O329)-H329)*N(N329)+(Q329-H329)*Y329)-N(R329))</f>
        <v/>
      </c>
      <c r="AD329" s="25" t="str">
        <f aca="false">IF(OR(AC329="",N(Z329)=0),"",AC329/Z329)</f>
        <v/>
      </c>
      <c r="AE329" s="25" t="str">
        <f aca="false">IF(OR(S329="",N(Z329)=0),"",IF($B329="Short",-1,1)*(S329-H329)*G329/Z329)</f>
        <v/>
      </c>
      <c r="AF329" s="25" t="str">
        <f aca="false">IF(OR(T329="",N(Z329)=0),"",IF($B329="Short",-1,1)*(T329-H329)*G329/Z329)</f>
        <v/>
      </c>
      <c r="AG329" s="21" t="str">
        <f aca="false">IF(U329&lt;&gt;"Open","",Y329*MAX(0,IF($B329="Short",-1,1)*(H329-IF(K329="",I329,K329))))</f>
        <v/>
      </c>
      <c r="AH329" s="26" t="str">
        <f aca="false">IF(U329&lt;&gt;"Closed","",DATE(YEAR(P329),MONTH(P329),1))</f>
        <v/>
      </c>
      <c r="AI329" s="19" t="str">
        <f aca="false">IF(U329&lt;&gt;"Closed","",COUNTIFS($U$7:$U$506,"Closed",$P$7:$P$506,"&lt;"&amp;P329)+COUNTIFS($U$7:U329,"Closed",$P$7:P329,P329))</f>
        <v/>
      </c>
    </row>
    <row r="330" customFormat="false" ht="15" hidden="false" customHeight="false" outlineLevel="0" collapsed="false">
      <c r="A330" s="13"/>
      <c r="B330" s="14"/>
      <c r="C330" s="14"/>
      <c r="D330" s="14"/>
      <c r="E330" s="15"/>
      <c r="F330" s="15"/>
      <c r="G330" s="16"/>
      <c r="H330" s="17"/>
      <c r="I330" s="17"/>
      <c r="J330" s="17"/>
      <c r="K330" s="17"/>
      <c r="L330" s="16"/>
      <c r="M330" s="17"/>
      <c r="N330" s="16"/>
      <c r="O330" s="17"/>
      <c r="P330" s="15"/>
      <c r="Q330" s="17"/>
      <c r="R330" s="17"/>
      <c r="S330" s="17"/>
      <c r="T330" s="17"/>
      <c r="U330" s="18" t="str">
        <f aca="false">IF(A330="","",IF(N(G330)-N(L330)-N(N330)&lt;0,"Check shares",IF(AND(P330&lt;&gt;"",Q330&lt;&gt;""),"Closed","Open")))</f>
        <v/>
      </c>
      <c r="V330" s="19" t="str">
        <f aca="false">IF(OR(F330="",P330=""),"",NETWORKDAYS(F330,P330,Lists!$F$5:$F$40)-1)</f>
        <v/>
      </c>
      <c r="W330" s="18" t="str">
        <f aca="false">IF(V330="","",IF(V330=0,"Same day","Overnight"))</f>
        <v/>
      </c>
      <c r="X330" s="18" t="str">
        <f aca="false">IF(OR(E330="",F330=""),"",IF(AND(E330&gt;=F330,OR(P330="",E330&lt;=P330)),"Yes","No"))</f>
        <v/>
      </c>
      <c r="Y330" s="20" t="str">
        <f aca="false">IF(A330="","",N(G330)-N(L330)-N(N330))</f>
        <v/>
      </c>
      <c r="Z330" s="21" t="str">
        <f aca="false">IF(OR(G330="",H330="",I330=""),"",ABS(H330-I330)*G330)</f>
        <v/>
      </c>
      <c r="AA330" s="22" t="str">
        <f aca="false">IF(OR(J330="",N(Z330)=0),"",ABS(J330-H330)/ABS(H330-I330))</f>
        <v/>
      </c>
      <c r="AB330" s="23" t="str">
        <f aca="false">IF(U330&lt;&gt;"Closed","",(N(L330)*N(M330)+N(N330)*N(O330)+Y330*Q330)/G330)</f>
        <v/>
      </c>
      <c r="AC330" s="24" t="str">
        <f aca="false">IF(U330&lt;&gt;"Closed","",IF($B330="Short",-1,1)*((N(M330)-H330)*N(L330)+(N(O330)-H330)*N(N330)+(Q330-H330)*Y330)-N(R330))</f>
        <v/>
      </c>
      <c r="AD330" s="25" t="str">
        <f aca="false">IF(OR(AC330="",N(Z330)=0),"",AC330/Z330)</f>
        <v/>
      </c>
      <c r="AE330" s="25" t="str">
        <f aca="false">IF(OR(S330="",N(Z330)=0),"",IF($B330="Short",-1,1)*(S330-H330)*G330/Z330)</f>
        <v/>
      </c>
      <c r="AF330" s="25" t="str">
        <f aca="false">IF(OR(T330="",N(Z330)=0),"",IF($B330="Short",-1,1)*(T330-H330)*G330/Z330)</f>
        <v/>
      </c>
      <c r="AG330" s="21" t="str">
        <f aca="false">IF(U330&lt;&gt;"Open","",Y330*MAX(0,IF($B330="Short",-1,1)*(H330-IF(K330="",I330,K330))))</f>
        <v/>
      </c>
      <c r="AH330" s="26" t="str">
        <f aca="false">IF(U330&lt;&gt;"Closed","",DATE(YEAR(P330),MONTH(P330),1))</f>
        <v/>
      </c>
      <c r="AI330" s="19" t="str">
        <f aca="false">IF(U330&lt;&gt;"Closed","",COUNTIFS($U$7:$U$506,"Closed",$P$7:$P$506,"&lt;"&amp;P330)+COUNTIFS($U$7:U330,"Closed",$P$7:P330,P330))</f>
        <v/>
      </c>
    </row>
    <row r="331" customFormat="false" ht="15" hidden="false" customHeight="false" outlineLevel="0" collapsed="false">
      <c r="A331" s="13"/>
      <c r="B331" s="14"/>
      <c r="C331" s="14"/>
      <c r="D331" s="14"/>
      <c r="E331" s="15"/>
      <c r="F331" s="15"/>
      <c r="G331" s="16"/>
      <c r="H331" s="17"/>
      <c r="I331" s="17"/>
      <c r="J331" s="17"/>
      <c r="K331" s="17"/>
      <c r="L331" s="16"/>
      <c r="M331" s="17"/>
      <c r="N331" s="16"/>
      <c r="O331" s="17"/>
      <c r="P331" s="15"/>
      <c r="Q331" s="17"/>
      <c r="R331" s="17"/>
      <c r="S331" s="17"/>
      <c r="T331" s="17"/>
      <c r="U331" s="18" t="str">
        <f aca="false">IF(A331="","",IF(N(G331)-N(L331)-N(N331)&lt;0,"Check shares",IF(AND(P331&lt;&gt;"",Q331&lt;&gt;""),"Closed","Open")))</f>
        <v/>
      </c>
      <c r="V331" s="19" t="str">
        <f aca="false">IF(OR(F331="",P331=""),"",NETWORKDAYS(F331,P331,Lists!$F$5:$F$40)-1)</f>
        <v/>
      </c>
      <c r="W331" s="18" t="str">
        <f aca="false">IF(V331="","",IF(V331=0,"Same day","Overnight"))</f>
        <v/>
      </c>
      <c r="X331" s="18" t="str">
        <f aca="false">IF(OR(E331="",F331=""),"",IF(AND(E331&gt;=F331,OR(P331="",E331&lt;=P331)),"Yes","No"))</f>
        <v/>
      </c>
      <c r="Y331" s="20" t="str">
        <f aca="false">IF(A331="","",N(G331)-N(L331)-N(N331))</f>
        <v/>
      </c>
      <c r="Z331" s="21" t="str">
        <f aca="false">IF(OR(G331="",H331="",I331=""),"",ABS(H331-I331)*G331)</f>
        <v/>
      </c>
      <c r="AA331" s="22" t="str">
        <f aca="false">IF(OR(J331="",N(Z331)=0),"",ABS(J331-H331)/ABS(H331-I331))</f>
        <v/>
      </c>
      <c r="AB331" s="23" t="str">
        <f aca="false">IF(U331&lt;&gt;"Closed","",(N(L331)*N(M331)+N(N331)*N(O331)+Y331*Q331)/G331)</f>
        <v/>
      </c>
      <c r="AC331" s="24" t="str">
        <f aca="false">IF(U331&lt;&gt;"Closed","",IF($B331="Short",-1,1)*((N(M331)-H331)*N(L331)+(N(O331)-H331)*N(N331)+(Q331-H331)*Y331)-N(R331))</f>
        <v/>
      </c>
      <c r="AD331" s="25" t="str">
        <f aca="false">IF(OR(AC331="",N(Z331)=0),"",AC331/Z331)</f>
        <v/>
      </c>
      <c r="AE331" s="25" t="str">
        <f aca="false">IF(OR(S331="",N(Z331)=0),"",IF($B331="Short",-1,1)*(S331-H331)*G331/Z331)</f>
        <v/>
      </c>
      <c r="AF331" s="25" t="str">
        <f aca="false">IF(OR(T331="",N(Z331)=0),"",IF($B331="Short",-1,1)*(T331-H331)*G331/Z331)</f>
        <v/>
      </c>
      <c r="AG331" s="21" t="str">
        <f aca="false">IF(U331&lt;&gt;"Open","",Y331*MAX(0,IF($B331="Short",-1,1)*(H331-IF(K331="",I331,K331))))</f>
        <v/>
      </c>
      <c r="AH331" s="26" t="str">
        <f aca="false">IF(U331&lt;&gt;"Closed","",DATE(YEAR(P331),MONTH(P331),1))</f>
        <v/>
      </c>
      <c r="AI331" s="19" t="str">
        <f aca="false">IF(U331&lt;&gt;"Closed","",COUNTIFS($U$7:$U$506,"Closed",$P$7:$P$506,"&lt;"&amp;P331)+COUNTIFS($U$7:U331,"Closed",$P$7:P331,P331))</f>
        <v/>
      </c>
    </row>
    <row r="332" customFormat="false" ht="15" hidden="false" customHeight="false" outlineLevel="0" collapsed="false">
      <c r="A332" s="13"/>
      <c r="B332" s="14"/>
      <c r="C332" s="14"/>
      <c r="D332" s="14"/>
      <c r="E332" s="15"/>
      <c r="F332" s="15"/>
      <c r="G332" s="16"/>
      <c r="H332" s="17"/>
      <c r="I332" s="17"/>
      <c r="J332" s="17"/>
      <c r="K332" s="17"/>
      <c r="L332" s="16"/>
      <c r="M332" s="17"/>
      <c r="N332" s="16"/>
      <c r="O332" s="17"/>
      <c r="P332" s="15"/>
      <c r="Q332" s="17"/>
      <c r="R332" s="17"/>
      <c r="S332" s="17"/>
      <c r="T332" s="17"/>
      <c r="U332" s="18" t="str">
        <f aca="false">IF(A332="","",IF(N(G332)-N(L332)-N(N332)&lt;0,"Check shares",IF(AND(P332&lt;&gt;"",Q332&lt;&gt;""),"Closed","Open")))</f>
        <v/>
      </c>
      <c r="V332" s="19" t="str">
        <f aca="false">IF(OR(F332="",P332=""),"",NETWORKDAYS(F332,P332,Lists!$F$5:$F$40)-1)</f>
        <v/>
      </c>
      <c r="W332" s="18" t="str">
        <f aca="false">IF(V332="","",IF(V332=0,"Same day","Overnight"))</f>
        <v/>
      </c>
      <c r="X332" s="18" t="str">
        <f aca="false">IF(OR(E332="",F332=""),"",IF(AND(E332&gt;=F332,OR(P332="",E332&lt;=P332)),"Yes","No"))</f>
        <v/>
      </c>
      <c r="Y332" s="20" t="str">
        <f aca="false">IF(A332="","",N(G332)-N(L332)-N(N332))</f>
        <v/>
      </c>
      <c r="Z332" s="21" t="str">
        <f aca="false">IF(OR(G332="",H332="",I332=""),"",ABS(H332-I332)*G332)</f>
        <v/>
      </c>
      <c r="AA332" s="22" t="str">
        <f aca="false">IF(OR(J332="",N(Z332)=0),"",ABS(J332-H332)/ABS(H332-I332))</f>
        <v/>
      </c>
      <c r="AB332" s="23" t="str">
        <f aca="false">IF(U332&lt;&gt;"Closed","",(N(L332)*N(M332)+N(N332)*N(O332)+Y332*Q332)/G332)</f>
        <v/>
      </c>
      <c r="AC332" s="24" t="str">
        <f aca="false">IF(U332&lt;&gt;"Closed","",IF($B332="Short",-1,1)*((N(M332)-H332)*N(L332)+(N(O332)-H332)*N(N332)+(Q332-H332)*Y332)-N(R332))</f>
        <v/>
      </c>
      <c r="AD332" s="25" t="str">
        <f aca="false">IF(OR(AC332="",N(Z332)=0),"",AC332/Z332)</f>
        <v/>
      </c>
      <c r="AE332" s="25" t="str">
        <f aca="false">IF(OR(S332="",N(Z332)=0),"",IF($B332="Short",-1,1)*(S332-H332)*G332/Z332)</f>
        <v/>
      </c>
      <c r="AF332" s="25" t="str">
        <f aca="false">IF(OR(T332="",N(Z332)=0),"",IF($B332="Short",-1,1)*(T332-H332)*G332/Z332)</f>
        <v/>
      </c>
      <c r="AG332" s="21" t="str">
        <f aca="false">IF(U332&lt;&gt;"Open","",Y332*MAX(0,IF($B332="Short",-1,1)*(H332-IF(K332="",I332,K332))))</f>
        <v/>
      </c>
      <c r="AH332" s="26" t="str">
        <f aca="false">IF(U332&lt;&gt;"Closed","",DATE(YEAR(P332),MONTH(P332),1))</f>
        <v/>
      </c>
      <c r="AI332" s="19" t="str">
        <f aca="false">IF(U332&lt;&gt;"Closed","",COUNTIFS($U$7:$U$506,"Closed",$P$7:$P$506,"&lt;"&amp;P332)+COUNTIFS($U$7:U332,"Closed",$P$7:P332,P332))</f>
        <v/>
      </c>
    </row>
    <row r="333" customFormat="false" ht="15" hidden="false" customHeight="false" outlineLevel="0" collapsed="false">
      <c r="A333" s="13"/>
      <c r="B333" s="14"/>
      <c r="C333" s="14"/>
      <c r="D333" s="14"/>
      <c r="E333" s="15"/>
      <c r="F333" s="15"/>
      <c r="G333" s="16"/>
      <c r="H333" s="17"/>
      <c r="I333" s="17"/>
      <c r="J333" s="17"/>
      <c r="K333" s="17"/>
      <c r="L333" s="16"/>
      <c r="M333" s="17"/>
      <c r="N333" s="16"/>
      <c r="O333" s="17"/>
      <c r="P333" s="15"/>
      <c r="Q333" s="17"/>
      <c r="R333" s="17"/>
      <c r="S333" s="17"/>
      <c r="T333" s="17"/>
      <c r="U333" s="18" t="str">
        <f aca="false">IF(A333="","",IF(N(G333)-N(L333)-N(N333)&lt;0,"Check shares",IF(AND(P333&lt;&gt;"",Q333&lt;&gt;""),"Closed","Open")))</f>
        <v/>
      </c>
      <c r="V333" s="19" t="str">
        <f aca="false">IF(OR(F333="",P333=""),"",NETWORKDAYS(F333,P333,Lists!$F$5:$F$40)-1)</f>
        <v/>
      </c>
      <c r="W333" s="18" t="str">
        <f aca="false">IF(V333="","",IF(V333=0,"Same day","Overnight"))</f>
        <v/>
      </c>
      <c r="X333" s="18" t="str">
        <f aca="false">IF(OR(E333="",F333=""),"",IF(AND(E333&gt;=F333,OR(P333="",E333&lt;=P333)),"Yes","No"))</f>
        <v/>
      </c>
      <c r="Y333" s="20" t="str">
        <f aca="false">IF(A333="","",N(G333)-N(L333)-N(N333))</f>
        <v/>
      </c>
      <c r="Z333" s="21" t="str">
        <f aca="false">IF(OR(G333="",H333="",I333=""),"",ABS(H333-I333)*G333)</f>
        <v/>
      </c>
      <c r="AA333" s="22" t="str">
        <f aca="false">IF(OR(J333="",N(Z333)=0),"",ABS(J333-H333)/ABS(H333-I333))</f>
        <v/>
      </c>
      <c r="AB333" s="23" t="str">
        <f aca="false">IF(U333&lt;&gt;"Closed","",(N(L333)*N(M333)+N(N333)*N(O333)+Y333*Q333)/G333)</f>
        <v/>
      </c>
      <c r="AC333" s="24" t="str">
        <f aca="false">IF(U333&lt;&gt;"Closed","",IF($B333="Short",-1,1)*((N(M333)-H333)*N(L333)+(N(O333)-H333)*N(N333)+(Q333-H333)*Y333)-N(R333))</f>
        <v/>
      </c>
      <c r="AD333" s="25" t="str">
        <f aca="false">IF(OR(AC333="",N(Z333)=0),"",AC333/Z333)</f>
        <v/>
      </c>
      <c r="AE333" s="25" t="str">
        <f aca="false">IF(OR(S333="",N(Z333)=0),"",IF($B333="Short",-1,1)*(S333-H333)*G333/Z333)</f>
        <v/>
      </c>
      <c r="AF333" s="25" t="str">
        <f aca="false">IF(OR(T333="",N(Z333)=0),"",IF($B333="Short",-1,1)*(T333-H333)*G333/Z333)</f>
        <v/>
      </c>
      <c r="AG333" s="21" t="str">
        <f aca="false">IF(U333&lt;&gt;"Open","",Y333*MAX(0,IF($B333="Short",-1,1)*(H333-IF(K333="",I333,K333))))</f>
        <v/>
      </c>
      <c r="AH333" s="26" t="str">
        <f aca="false">IF(U333&lt;&gt;"Closed","",DATE(YEAR(P333),MONTH(P333),1))</f>
        <v/>
      </c>
      <c r="AI333" s="19" t="str">
        <f aca="false">IF(U333&lt;&gt;"Closed","",COUNTIFS($U$7:$U$506,"Closed",$P$7:$P$506,"&lt;"&amp;P333)+COUNTIFS($U$7:U333,"Closed",$P$7:P333,P333))</f>
        <v/>
      </c>
    </row>
    <row r="334" customFormat="false" ht="15" hidden="false" customHeight="false" outlineLevel="0" collapsed="false">
      <c r="A334" s="13"/>
      <c r="B334" s="14"/>
      <c r="C334" s="14"/>
      <c r="D334" s="14"/>
      <c r="E334" s="15"/>
      <c r="F334" s="15"/>
      <c r="G334" s="16"/>
      <c r="H334" s="17"/>
      <c r="I334" s="17"/>
      <c r="J334" s="17"/>
      <c r="K334" s="17"/>
      <c r="L334" s="16"/>
      <c r="M334" s="17"/>
      <c r="N334" s="16"/>
      <c r="O334" s="17"/>
      <c r="P334" s="15"/>
      <c r="Q334" s="17"/>
      <c r="R334" s="17"/>
      <c r="S334" s="17"/>
      <c r="T334" s="17"/>
      <c r="U334" s="18" t="str">
        <f aca="false">IF(A334="","",IF(N(G334)-N(L334)-N(N334)&lt;0,"Check shares",IF(AND(P334&lt;&gt;"",Q334&lt;&gt;""),"Closed","Open")))</f>
        <v/>
      </c>
      <c r="V334" s="19" t="str">
        <f aca="false">IF(OR(F334="",P334=""),"",NETWORKDAYS(F334,P334,Lists!$F$5:$F$40)-1)</f>
        <v/>
      </c>
      <c r="W334" s="18" t="str">
        <f aca="false">IF(V334="","",IF(V334=0,"Same day","Overnight"))</f>
        <v/>
      </c>
      <c r="X334" s="18" t="str">
        <f aca="false">IF(OR(E334="",F334=""),"",IF(AND(E334&gt;=F334,OR(P334="",E334&lt;=P334)),"Yes","No"))</f>
        <v/>
      </c>
      <c r="Y334" s="20" t="str">
        <f aca="false">IF(A334="","",N(G334)-N(L334)-N(N334))</f>
        <v/>
      </c>
      <c r="Z334" s="21" t="str">
        <f aca="false">IF(OR(G334="",H334="",I334=""),"",ABS(H334-I334)*G334)</f>
        <v/>
      </c>
      <c r="AA334" s="22" t="str">
        <f aca="false">IF(OR(J334="",N(Z334)=0),"",ABS(J334-H334)/ABS(H334-I334))</f>
        <v/>
      </c>
      <c r="AB334" s="23" t="str">
        <f aca="false">IF(U334&lt;&gt;"Closed","",(N(L334)*N(M334)+N(N334)*N(O334)+Y334*Q334)/G334)</f>
        <v/>
      </c>
      <c r="AC334" s="24" t="str">
        <f aca="false">IF(U334&lt;&gt;"Closed","",IF($B334="Short",-1,1)*((N(M334)-H334)*N(L334)+(N(O334)-H334)*N(N334)+(Q334-H334)*Y334)-N(R334))</f>
        <v/>
      </c>
      <c r="AD334" s="25" t="str">
        <f aca="false">IF(OR(AC334="",N(Z334)=0),"",AC334/Z334)</f>
        <v/>
      </c>
      <c r="AE334" s="25" t="str">
        <f aca="false">IF(OR(S334="",N(Z334)=0),"",IF($B334="Short",-1,1)*(S334-H334)*G334/Z334)</f>
        <v/>
      </c>
      <c r="AF334" s="25" t="str">
        <f aca="false">IF(OR(T334="",N(Z334)=0),"",IF($B334="Short",-1,1)*(T334-H334)*G334/Z334)</f>
        <v/>
      </c>
      <c r="AG334" s="21" t="str">
        <f aca="false">IF(U334&lt;&gt;"Open","",Y334*MAX(0,IF($B334="Short",-1,1)*(H334-IF(K334="",I334,K334))))</f>
        <v/>
      </c>
      <c r="AH334" s="26" t="str">
        <f aca="false">IF(U334&lt;&gt;"Closed","",DATE(YEAR(P334),MONTH(P334),1))</f>
        <v/>
      </c>
      <c r="AI334" s="19" t="str">
        <f aca="false">IF(U334&lt;&gt;"Closed","",COUNTIFS($U$7:$U$506,"Closed",$P$7:$P$506,"&lt;"&amp;P334)+COUNTIFS($U$7:U334,"Closed",$P$7:P334,P334))</f>
        <v/>
      </c>
    </row>
    <row r="335" customFormat="false" ht="15" hidden="false" customHeight="false" outlineLevel="0" collapsed="false">
      <c r="A335" s="13"/>
      <c r="B335" s="14"/>
      <c r="C335" s="14"/>
      <c r="D335" s="14"/>
      <c r="E335" s="15"/>
      <c r="F335" s="15"/>
      <c r="G335" s="16"/>
      <c r="H335" s="17"/>
      <c r="I335" s="17"/>
      <c r="J335" s="17"/>
      <c r="K335" s="17"/>
      <c r="L335" s="16"/>
      <c r="M335" s="17"/>
      <c r="N335" s="16"/>
      <c r="O335" s="17"/>
      <c r="P335" s="15"/>
      <c r="Q335" s="17"/>
      <c r="R335" s="17"/>
      <c r="S335" s="17"/>
      <c r="T335" s="17"/>
      <c r="U335" s="18" t="str">
        <f aca="false">IF(A335="","",IF(N(G335)-N(L335)-N(N335)&lt;0,"Check shares",IF(AND(P335&lt;&gt;"",Q335&lt;&gt;""),"Closed","Open")))</f>
        <v/>
      </c>
      <c r="V335" s="19" t="str">
        <f aca="false">IF(OR(F335="",P335=""),"",NETWORKDAYS(F335,P335,Lists!$F$5:$F$40)-1)</f>
        <v/>
      </c>
      <c r="W335" s="18" t="str">
        <f aca="false">IF(V335="","",IF(V335=0,"Same day","Overnight"))</f>
        <v/>
      </c>
      <c r="X335" s="18" t="str">
        <f aca="false">IF(OR(E335="",F335=""),"",IF(AND(E335&gt;=F335,OR(P335="",E335&lt;=P335)),"Yes","No"))</f>
        <v/>
      </c>
      <c r="Y335" s="20" t="str">
        <f aca="false">IF(A335="","",N(G335)-N(L335)-N(N335))</f>
        <v/>
      </c>
      <c r="Z335" s="21" t="str">
        <f aca="false">IF(OR(G335="",H335="",I335=""),"",ABS(H335-I335)*G335)</f>
        <v/>
      </c>
      <c r="AA335" s="22" t="str">
        <f aca="false">IF(OR(J335="",N(Z335)=0),"",ABS(J335-H335)/ABS(H335-I335))</f>
        <v/>
      </c>
      <c r="AB335" s="23" t="str">
        <f aca="false">IF(U335&lt;&gt;"Closed","",(N(L335)*N(M335)+N(N335)*N(O335)+Y335*Q335)/G335)</f>
        <v/>
      </c>
      <c r="AC335" s="24" t="str">
        <f aca="false">IF(U335&lt;&gt;"Closed","",IF($B335="Short",-1,1)*((N(M335)-H335)*N(L335)+(N(O335)-H335)*N(N335)+(Q335-H335)*Y335)-N(R335))</f>
        <v/>
      </c>
      <c r="AD335" s="25" t="str">
        <f aca="false">IF(OR(AC335="",N(Z335)=0),"",AC335/Z335)</f>
        <v/>
      </c>
      <c r="AE335" s="25" t="str">
        <f aca="false">IF(OR(S335="",N(Z335)=0),"",IF($B335="Short",-1,1)*(S335-H335)*G335/Z335)</f>
        <v/>
      </c>
      <c r="AF335" s="25" t="str">
        <f aca="false">IF(OR(T335="",N(Z335)=0),"",IF($B335="Short",-1,1)*(T335-H335)*G335/Z335)</f>
        <v/>
      </c>
      <c r="AG335" s="21" t="str">
        <f aca="false">IF(U335&lt;&gt;"Open","",Y335*MAX(0,IF($B335="Short",-1,1)*(H335-IF(K335="",I335,K335))))</f>
        <v/>
      </c>
      <c r="AH335" s="26" t="str">
        <f aca="false">IF(U335&lt;&gt;"Closed","",DATE(YEAR(P335),MONTH(P335),1))</f>
        <v/>
      </c>
      <c r="AI335" s="19" t="str">
        <f aca="false">IF(U335&lt;&gt;"Closed","",COUNTIFS($U$7:$U$506,"Closed",$P$7:$P$506,"&lt;"&amp;P335)+COUNTIFS($U$7:U335,"Closed",$P$7:P335,P335))</f>
        <v/>
      </c>
    </row>
    <row r="336" customFormat="false" ht="15" hidden="false" customHeight="false" outlineLevel="0" collapsed="false">
      <c r="A336" s="13"/>
      <c r="B336" s="14"/>
      <c r="C336" s="14"/>
      <c r="D336" s="14"/>
      <c r="E336" s="15"/>
      <c r="F336" s="15"/>
      <c r="G336" s="16"/>
      <c r="H336" s="17"/>
      <c r="I336" s="17"/>
      <c r="J336" s="17"/>
      <c r="K336" s="17"/>
      <c r="L336" s="16"/>
      <c r="M336" s="17"/>
      <c r="N336" s="16"/>
      <c r="O336" s="17"/>
      <c r="P336" s="15"/>
      <c r="Q336" s="17"/>
      <c r="R336" s="17"/>
      <c r="S336" s="17"/>
      <c r="T336" s="17"/>
      <c r="U336" s="18" t="str">
        <f aca="false">IF(A336="","",IF(N(G336)-N(L336)-N(N336)&lt;0,"Check shares",IF(AND(P336&lt;&gt;"",Q336&lt;&gt;""),"Closed","Open")))</f>
        <v/>
      </c>
      <c r="V336" s="19" t="str">
        <f aca="false">IF(OR(F336="",P336=""),"",NETWORKDAYS(F336,P336,Lists!$F$5:$F$40)-1)</f>
        <v/>
      </c>
      <c r="W336" s="18" t="str">
        <f aca="false">IF(V336="","",IF(V336=0,"Same day","Overnight"))</f>
        <v/>
      </c>
      <c r="X336" s="18" t="str">
        <f aca="false">IF(OR(E336="",F336=""),"",IF(AND(E336&gt;=F336,OR(P336="",E336&lt;=P336)),"Yes","No"))</f>
        <v/>
      </c>
      <c r="Y336" s="20" t="str">
        <f aca="false">IF(A336="","",N(G336)-N(L336)-N(N336))</f>
        <v/>
      </c>
      <c r="Z336" s="21" t="str">
        <f aca="false">IF(OR(G336="",H336="",I336=""),"",ABS(H336-I336)*G336)</f>
        <v/>
      </c>
      <c r="AA336" s="22" t="str">
        <f aca="false">IF(OR(J336="",N(Z336)=0),"",ABS(J336-H336)/ABS(H336-I336))</f>
        <v/>
      </c>
      <c r="AB336" s="23" t="str">
        <f aca="false">IF(U336&lt;&gt;"Closed","",(N(L336)*N(M336)+N(N336)*N(O336)+Y336*Q336)/G336)</f>
        <v/>
      </c>
      <c r="AC336" s="24" t="str">
        <f aca="false">IF(U336&lt;&gt;"Closed","",IF($B336="Short",-1,1)*((N(M336)-H336)*N(L336)+(N(O336)-H336)*N(N336)+(Q336-H336)*Y336)-N(R336))</f>
        <v/>
      </c>
      <c r="AD336" s="25" t="str">
        <f aca="false">IF(OR(AC336="",N(Z336)=0),"",AC336/Z336)</f>
        <v/>
      </c>
      <c r="AE336" s="25" t="str">
        <f aca="false">IF(OR(S336="",N(Z336)=0),"",IF($B336="Short",-1,1)*(S336-H336)*G336/Z336)</f>
        <v/>
      </c>
      <c r="AF336" s="25" t="str">
        <f aca="false">IF(OR(T336="",N(Z336)=0),"",IF($B336="Short",-1,1)*(T336-H336)*G336/Z336)</f>
        <v/>
      </c>
      <c r="AG336" s="21" t="str">
        <f aca="false">IF(U336&lt;&gt;"Open","",Y336*MAX(0,IF($B336="Short",-1,1)*(H336-IF(K336="",I336,K336))))</f>
        <v/>
      </c>
      <c r="AH336" s="26" t="str">
        <f aca="false">IF(U336&lt;&gt;"Closed","",DATE(YEAR(P336),MONTH(P336),1))</f>
        <v/>
      </c>
      <c r="AI336" s="19" t="str">
        <f aca="false">IF(U336&lt;&gt;"Closed","",COUNTIFS($U$7:$U$506,"Closed",$P$7:$P$506,"&lt;"&amp;P336)+COUNTIFS($U$7:U336,"Closed",$P$7:P336,P336))</f>
        <v/>
      </c>
    </row>
    <row r="337" customFormat="false" ht="15" hidden="false" customHeight="false" outlineLevel="0" collapsed="false">
      <c r="A337" s="13"/>
      <c r="B337" s="14"/>
      <c r="C337" s="14"/>
      <c r="D337" s="14"/>
      <c r="E337" s="15"/>
      <c r="F337" s="15"/>
      <c r="G337" s="16"/>
      <c r="H337" s="17"/>
      <c r="I337" s="17"/>
      <c r="J337" s="17"/>
      <c r="K337" s="17"/>
      <c r="L337" s="16"/>
      <c r="M337" s="17"/>
      <c r="N337" s="16"/>
      <c r="O337" s="17"/>
      <c r="P337" s="15"/>
      <c r="Q337" s="17"/>
      <c r="R337" s="17"/>
      <c r="S337" s="17"/>
      <c r="T337" s="17"/>
      <c r="U337" s="18" t="str">
        <f aca="false">IF(A337="","",IF(N(G337)-N(L337)-N(N337)&lt;0,"Check shares",IF(AND(P337&lt;&gt;"",Q337&lt;&gt;""),"Closed","Open")))</f>
        <v/>
      </c>
      <c r="V337" s="19" t="str">
        <f aca="false">IF(OR(F337="",P337=""),"",NETWORKDAYS(F337,P337,Lists!$F$5:$F$40)-1)</f>
        <v/>
      </c>
      <c r="W337" s="18" t="str">
        <f aca="false">IF(V337="","",IF(V337=0,"Same day","Overnight"))</f>
        <v/>
      </c>
      <c r="X337" s="18" t="str">
        <f aca="false">IF(OR(E337="",F337=""),"",IF(AND(E337&gt;=F337,OR(P337="",E337&lt;=P337)),"Yes","No"))</f>
        <v/>
      </c>
      <c r="Y337" s="20" t="str">
        <f aca="false">IF(A337="","",N(G337)-N(L337)-N(N337))</f>
        <v/>
      </c>
      <c r="Z337" s="21" t="str">
        <f aca="false">IF(OR(G337="",H337="",I337=""),"",ABS(H337-I337)*G337)</f>
        <v/>
      </c>
      <c r="AA337" s="22" t="str">
        <f aca="false">IF(OR(J337="",N(Z337)=0),"",ABS(J337-H337)/ABS(H337-I337))</f>
        <v/>
      </c>
      <c r="AB337" s="23" t="str">
        <f aca="false">IF(U337&lt;&gt;"Closed","",(N(L337)*N(M337)+N(N337)*N(O337)+Y337*Q337)/G337)</f>
        <v/>
      </c>
      <c r="AC337" s="24" t="str">
        <f aca="false">IF(U337&lt;&gt;"Closed","",IF($B337="Short",-1,1)*((N(M337)-H337)*N(L337)+(N(O337)-H337)*N(N337)+(Q337-H337)*Y337)-N(R337))</f>
        <v/>
      </c>
      <c r="AD337" s="25" t="str">
        <f aca="false">IF(OR(AC337="",N(Z337)=0),"",AC337/Z337)</f>
        <v/>
      </c>
      <c r="AE337" s="25" t="str">
        <f aca="false">IF(OR(S337="",N(Z337)=0),"",IF($B337="Short",-1,1)*(S337-H337)*G337/Z337)</f>
        <v/>
      </c>
      <c r="AF337" s="25" t="str">
        <f aca="false">IF(OR(T337="",N(Z337)=0),"",IF($B337="Short",-1,1)*(T337-H337)*G337/Z337)</f>
        <v/>
      </c>
      <c r="AG337" s="21" t="str">
        <f aca="false">IF(U337&lt;&gt;"Open","",Y337*MAX(0,IF($B337="Short",-1,1)*(H337-IF(K337="",I337,K337))))</f>
        <v/>
      </c>
      <c r="AH337" s="26" t="str">
        <f aca="false">IF(U337&lt;&gt;"Closed","",DATE(YEAR(P337),MONTH(P337),1))</f>
        <v/>
      </c>
      <c r="AI337" s="19" t="str">
        <f aca="false">IF(U337&lt;&gt;"Closed","",COUNTIFS($U$7:$U$506,"Closed",$P$7:$P$506,"&lt;"&amp;P337)+COUNTIFS($U$7:U337,"Closed",$P$7:P337,P337))</f>
        <v/>
      </c>
    </row>
    <row r="338" customFormat="false" ht="15" hidden="false" customHeight="false" outlineLevel="0" collapsed="false">
      <c r="A338" s="13"/>
      <c r="B338" s="14"/>
      <c r="C338" s="14"/>
      <c r="D338" s="14"/>
      <c r="E338" s="15"/>
      <c r="F338" s="15"/>
      <c r="G338" s="16"/>
      <c r="H338" s="17"/>
      <c r="I338" s="17"/>
      <c r="J338" s="17"/>
      <c r="K338" s="17"/>
      <c r="L338" s="16"/>
      <c r="M338" s="17"/>
      <c r="N338" s="16"/>
      <c r="O338" s="17"/>
      <c r="P338" s="15"/>
      <c r="Q338" s="17"/>
      <c r="R338" s="17"/>
      <c r="S338" s="17"/>
      <c r="T338" s="17"/>
      <c r="U338" s="18" t="str">
        <f aca="false">IF(A338="","",IF(N(G338)-N(L338)-N(N338)&lt;0,"Check shares",IF(AND(P338&lt;&gt;"",Q338&lt;&gt;""),"Closed","Open")))</f>
        <v/>
      </c>
      <c r="V338" s="19" t="str">
        <f aca="false">IF(OR(F338="",P338=""),"",NETWORKDAYS(F338,P338,Lists!$F$5:$F$40)-1)</f>
        <v/>
      </c>
      <c r="W338" s="18" t="str">
        <f aca="false">IF(V338="","",IF(V338=0,"Same day","Overnight"))</f>
        <v/>
      </c>
      <c r="X338" s="18" t="str">
        <f aca="false">IF(OR(E338="",F338=""),"",IF(AND(E338&gt;=F338,OR(P338="",E338&lt;=P338)),"Yes","No"))</f>
        <v/>
      </c>
      <c r="Y338" s="20" t="str">
        <f aca="false">IF(A338="","",N(G338)-N(L338)-N(N338))</f>
        <v/>
      </c>
      <c r="Z338" s="21" t="str">
        <f aca="false">IF(OR(G338="",H338="",I338=""),"",ABS(H338-I338)*G338)</f>
        <v/>
      </c>
      <c r="AA338" s="22" t="str">
        <f aca="false">IF(OR(J338="",N(Z338)=0),"",ABS(J338-H338)/ABS(H338-I338))</f>
        <v/>
      </c>
      <c r="AB338" s="23" t="str">
        <f aca="false">IF(U338&lt;&gt;"Closed","",(N(L338)*N(M338)+N(N338)*N(O338)+Y338*Q338)/G338)</f>
        <v/>
      </c>
      <c r="AC338" s="24" t="str">
        <f aca="false">IF(U338&lt;&gt;"Closed","",IF($B338="Short",-1,1)*((N(M338)-H338)*N(L338)+(N(O338)-H338)*N(N338)+(Q338-H338)*Y338)-N(R338))</f>
        <v/>
      </c>
      <c r="AD338" s="25" t="str">
        <f aca="false">IF(OR(AC338="",N(Z338)=0),"",AC338/Z338)</f>
        <v/>
      </c>
      <c r="AE338" s="25" t="str">
        <f aca="false">IF(OR(S338="",N(Z338)=0),"",IF($B338="Short",-1,1)*(S338-H338)*G338/Z338)</f>
        <v/>
      </c>
      <c r="AF338" s="25" t="str">
        <f aca="false">IF(OR(T338="",N(Z338)=0),"",IF($B338="Short",-1,1)*(T338-H338)*G338/Z338)</f>
        <v/>
      </c>
      <c r="AG338" s="21" t="str">
        <f aca="false">IF(U338&lt;&gt;"Open","",Y338*MAX(0,IF($B338="Short",-1,1)*(H338-IF(K338="",I338,K338))))</f>
        <v/>
      </c>
      <c r="AH338" s="26" t="str">
        <f aca="false">IF(U338&lt;&gt;"Closed","",DATE(YEAR(P338),MONTH(P338),1))</f>
        <v/>
      </c>
      <c r="AI338" s="19" t="str">
        <f aca="false">IF(U338&lt;&gt;"Closed","",COUNTIFS($U$7:$U$506,"Closed",$P$7:$P$506,"&lt;"&amp;P338)+COUNTIFS($U$7:U338,"Closed",$P$7:P338,P338))</f>
        <v/>
      </c>
    </row>
    <row r="339" customFormat="false" ht="15" hidden="false" customHeight="false" outlineLevel="0" collapsed="false">
      <c r="A339" s="13"/>
      <c r="B339" s="14"/>
      <c r="C339" s="14"/>
      <c r="D339" s="14"/>
      <c r="E339" s="15"/>
      <c r="F339" s="15"/>
      <c r="G339" s="16"/>
      <c r="H339" s="17"/>
      <c r="I339" s="17"/>
      <c r="J339" s="17"/>
      <c r="K339" s="17"/>
      <c r="L339" s="16"/>
      <c r="M339" s="17"/>
      <c r="N339" s="16"/>
      <c r="O339" s="17"/>
      <c r="P339" s="15"/>
      <c r="Q339" s="17"/>
      <c r="R339" s="17"/>
      <c r="S339" s="17"/>
      <c r="T339" s="17"/>
      <c r="U339" s="18" t="str">
        <f aca="false">IF(A339="","",IF(N(G339)-N(L339)-N(N339)&lt;0,"Check shares",IF(AND(P339&lt;&gt;"",Q339&lt;&gt;""),"Closed","Open")))</f>
        <v/>
      </c>
      <c r="V339" s="19" t="str">
        <f aca="false">IF(OR(F339="",P339=""),"",NETWORKDAYS(F339,P339,Lists!$F$5:$F$40)-1)</f>
        <v/>
      </c>
      <c r="W339" s="18" t="str">
        <f aca="false">IF(V339="","",IF(V339=0,"Same day","Overnight"))</f>
        <v/>
      </c>
      <c r="X339" s="18" t="str">
        <f aca="false">IF(OR(E339="",F339=""),"",IF(AND(E339&gt;=F339,OR(P339="",E339&lt;=P339)),"Yes","No"))</f>
        <v/>
      </c>
      <c r="Y339" s="20" t="str">
        <f aca="false">IF(A339="","",N(G339)-N(L339)-N(N339))</f>
        <v/>
      </c>
      <c r="Z339" s="21" t="str">
        <f aca="false">IF(OR(G339="",H339="",I339=""),"",ABS(H339-I339)*G339)</f>
        <v/>
      </c>
      <c r="AA339" s="22" t="str">
        <f aca="false">IF(OR(J339="",N(Z339)=0),"",ABS(J339-H339)/ABS(H339-I339))</f>
        <v/>
      </c>
      <c r="AB339" s="23" t="str">
        <f aca="false">IF(U339&lt;&gt;"Closed","",(N(L339)*N(M339)+N(N339)*N(O339)+Y339*Q339)/G339)</f>
        <v/>
      </c>
      <c r="AC339" s="24" t="str">
        <f aca="false">IF(U339&lt;&gt;"Closed","",IF($B339="Short",-1,1)*((N(M339)-H339)*N(L339)+(N(O339)-H339)*N(N339)+(Q339-H339)*Y339)-N(R339))</f>
        <v/>
      </c>
      <c r="AD339" s="25" t="str">
        <f aca="false">IF(OR(AC339="",N(Z339)=0),"",AC339/Z339)</f>
        <v/>
      </c>
      <c r="AE339" s="25" t="str">
        <f aca="false">IF(OR(S339="",N(Z339)=0),"",IF($B339="Short",-1,1)*(S339-H339)*G339/Z339)</f>
        <v/>
      </c>
      <c r="AF339" s="25" t="str">
        <f aca="false">IF(OR(T339="",N(Z339)=0),"",IF($B339="Short",-1,1)*(T339-H339)*G339/Z339)</f>
        <v/>
      </c>
      <c r="AG339" s="21" t="str">
        <f aca="false">IF(U339&lt;&gt;"Open","",Y339*MAX(0,IF($B339="Short",-1,1)*(H339-IF(K339="",I339,K339))))</f>
        <v/>
      </c>
      <c r="AH339" s="26" t="str">
        <f aca="false">IF(U339&lt;&gt;"Closed","",DATE(YEAR(P339),MONTH(P339),1))</f>
        <v/>
      </c>
      <c r="AI339" s="19" t="str">
        <f aca="false">IF(U339&lt;&gt;"Closed","",COUNTIFS($U$7:$U$506,"Closed",$P$7:$P$506,"&lt;"&amp;P339)+COUNTIFS($U$7:U339,"Closed",$P$7:P339,P339))</f>
        <v/>
      </c>
    </row>
    <row r="340" customFormat="false" ht="15" hidden="false" customHeight="false" outlineLevel="0" collapsed="false">
      <c r="A340" s="13"/>
      <c r="B340" s="14"/>
      <c r="C340" s="14"/>
      <c r="D340" s="14"/>
      <c r="E340" s="15"/>
      <c r="F340" s="15"/>
      <c r="G340" s="16"/>
      <c r="H340" s="17"/>
      <c r="I340" s="17"/>
      <c r="J340" s="17"/>
      <c r="K340" s="17"/>
      <c r="L340" s="16"/>
      <c r="M340" s="17"/>
      <c r="N340" s="16"/>
      <c r="O340" s="17"/>
      <c r="P340" s="15"/>
      <c r="Q340" s="17"/>
      <c r="R340" s="17"/>
      <c r="S340" s="17"/>
      <c r="T340" s="17"/>
      <c r="U340" s="18" t="str">
        <f aca="false">IF(A340="","",IF(N(G340)-N(L340)-N(N340)&lt;0,"Check shares",IF(AND(P340&lt;&gt;"",Q340&lt;&gt;""),"Closed","Open")))</f>
        <v/>
      </c>
      <c r="V340" s="19" t="str">
        <f aca="false">IF(OR(F340="",P340=""),"",NETWORKDAYS(F340,P340,Lists!$F$5:$F$40)-1)</f>
        <v/>
      </c>
      <c r="W340" s="18" t="str">
        <f aca="false">IF(V340="","",IF(V340=0,"Same day","Overnight"))</f>
        <v/>
      </c>
      <c r="X340" s="18" t="str">
        <f aca="false">IF(OR(E340="",F340=""),"",IF(AND(E340&gt;=F340,OR(P340="",E340&lt;=P340)),"Yes","No"))</f>
        <v/>
      </c>
      <c r="Y340" s="20" t="str">
        <f aca="false">IF(A340="","",N(G340)-N(L340)-N(N340))</f>
        <v/>
      </c>
      <c r="Z340" s="21" t="str">
        <f aca="false">IF(OR(G340="",H340="",I340=""),"",ABS(H340-I340)*G340)</f>
        <v/>
      </c>
      <c r="AA340" s="22" t="str">
        <f aca="false">IF(OR(J340="",N(Z340)=0),"",ABS(J340-H340)/ABS(H340-I340))</f>
        <v/>
      </c>
      <c r="AB340" s="23" t="str">
        <f aca="false">IF(U340&lt;&gt;"Closed","",(N(L340)*N(M340)+N(N340)*N(O340)+Y340*Q340)/G340)</f>
        <v/>
      </c>
      <c r="AC340" s="24" t="str">
        <f aca="false">IF(U340&lt;&gt;"Closed","",IF($B340="Short",-1,1)*((N(M340)-H340)*N(L340)+(N(O340)-H340)*N(N340)+(Q340-H340)*Y340)-N(R340))</f>
        <v/>
      </c>
      <c r="AD340" s="25" t="str">
        <f aca="false">IF(OR(AC340="",N(Z340)=0),"",AC340/Z340)</f>
        <v/>
      </c>
      <c r="AE340" s="25" t="str">
        <f aca="false">IF(OR(S340="",N(Z340)=0),"",IF($B340="Short",-1,1)*(S340-H340)*G340/Z340)</f>
        <v/>
      </c>
      <c r="AF340" s="25" t="str">
        <f aca="false">IF(OR(T340="",N(Z340)=0),"",IF($B340="Short",-1,1)*(T340-H340)*G340/Z340)</f>
        <v/>
      </c>
      <c r="AG340" s="21" t="str">
        <f aca="false">IF(U340&lt;&gt;"Open","",Y340*MAX(0,IF($B340="Short",-1,1)*(H340-IF(K340="",I340,K340))))</f>
        <v/>
      </c>
      <c r="AH340" s="26" t="str">
        <f aca="false">IF(U340&lt;&gt;"Closed","",DATE(YEAR(P340),MONTH(P340),1))</f>
        <v/>
      </c>
      <c r="AI340" s="19" t="str">
        <f aca="false">IF(U340&lt;&gt;"Closed","",COUNTIFS($U$7:$U$506,"Closed",$P$7:$P$506,"&lt;"&amp;P340)+COUNTIFS($U$7:U340,"Closed",$P$7:P340,P340))</f>
        <v/>
      </c>
    </row>
    <row r="341" customFormat="false" ht="15" hidden="false" customHeight="false" outlineLevel="0" collapsed="false">
      <c r="A341" s="13"/>
      <c r="B341" s="14"/>
      <c r="C341" s="14"/>
      <c r="D341" s="14"/>
      <c r="E341" s="15"/>
      <c r="F341" s="15"/>
      <c r="G341" s="16"/>
      <c r="H341" s="17"/>
      <c r="I341" s="17"/>
      <c r="J341" s="17"/>
      <c r="K341" s="17"/>
      <c r="L341" s="16"/>
      <c r="M341" s="17"/>
      <c r="N341" s="16"/>
      <c r="O341" s="17"/>
      <c r="P341" s="15"/>
      <c r="Q341" s="17"/>
      <c r="R341" s="17"/>
      <c r="S341" s="17"/>
      <c r="T341" s="17"/>
      <c r="U341" s="18" t="str">
        <f aca="false">IF(A341="","",IF(N(G341)-N(L341)-N(N341)&lt;0,"Check shares",IF(AND(P341&lt;&gt;"",Q341&lt;&gt;""),"Closed","Open")))</f>
        <v/>
      </c>
      <c r="V341" s="19" t="str">
        <f aca="false">IF(OR(F341="",P341=""),"",NETWORKDAYS(F341,P341,Lists!$F$5:$F$40)-1)</f>
        <v/>
      </c>
      <c r="W341" s="18" t="str">
        <f aca="false">IF(V341="","",IF(V341=0,"Same day","Overnight"))</f>
        <v/>
      </c>
      <c r="X341" s="18" t="str">
        <f aca="false">IF(OR(E341="",F341=""),"",IF(AND(E341&gt;=F341,OR(P341="",E341&lt;=P341)),"Yes","No"))</f>
        <v/>
      </c>
      <c r="Y341" s="20" t="str">
        <f aca="false">IF(A341="","",N(G341)-N(L341)-N(N341))</f>
        <v/>
      </c>
      <c r="Z341" s="21" t="str">
        <f aca="false">IF(OR(G341="",H341="",I341=""),"",ABS(H341-I341)*G341)</f>
        <v/>
      </c>
      <c r="AA341" s="22" t="str">
        <f aca="false">IF(OR(J341="",N(Z341)=0),"",ABS(J341-H341)/ABS(H341-I341))</f>
        <v/>
      </c>
      <c r="AB341" s="23" t="str">
        <f aca="false">IF(U341&lt;&gt;"Closed","",(N(L341)*N(M341)+N(N341)*N(O341)+Y341*Q341)/G341)</f>
        <v/>
      </c>
      <c r="AC341" s="24" t="str">
        <f aca="false">IF(U341&lt;&gt;"Closed","",IF($B341="Short",-1,1)*((N(M341)-H341)*N(L341)+(N(O341)-H341)*N(N341)+(Q341-H341)*Y341)-N(R341))</f>
        <v/>
      </c>
      <c r="AD341" s="25" t="str">
        <f aca="false">IF(OR(AC341="",N(Z341)=0),"",AC341/Z341)</f>
        <v/>
      </c>
      <c r="AE341" s="25" t="str">
        <f aca="false">IF(OR(S341="",N(Z341)=0),"",IF($B341="Short",-1,1)*(S341-H341)*G341/Z341)</f>
        <v/>
      </c>
      <c r="AF341" s="25" t="str">
        <f aca="false">IF(OR(T341="",N(Z341)=0),"",IF($B341="Short",-1,1)*(T341-H341)*G341/Z341)</f>
        <v/>
      </c>
      <c r="AG341" s="21" t="str">
        <f aca="false">IF(U341&lt;&gt;"Open","",Y341*MAX(0,IF($B341="Short",-1,1)*(H341-IF(K341="",I341,K341))))</f>
        <v/>
      </c>
      <c r="AH341" s="26" t="str">
        <f aca="false">IF(U341&lt;&gt;"Closed","",DATE(YEAR(P341),MONTH(P341),1))</f>
        <v/>
      </c>
      <c r="AI341" s="19" t="str">
        <f aca="false">IF(U341&lt;&gt;"Closed","",COUNTIFS($U$7:$U$506,"Closed",$P$7:$P$506,"&lt;"&amp;P341)+COUNTIFS($U$7:U341,"Closed",$P$7:P341,P341))</f>
        <v/>
      </c>
    </row>
    <row r="342" customFormat="false" ht="15" hidden="false" customHeight="false" outlineLevel="0" collapsed="false">
      <c r="A342" s="13"/>
      <c r="B342" s="14"/>
      <c r="C342" s="14"/>
      <c r="D342" s="14"/>
      <c r="E342" s="15"/>
      <c r="F342" s="15"/>
      <c r="G342" s="16"/>
      <c r="H342" s="17"/>
      <c r="I342" s="17"/>
      <c r="J342" s="17"/>
      <c r="K342" s="17"/>
      <c r="L342" s="16"/>
      <c r="M342" s="17"/>
      <c r="N342" s="16"/>
      <c r="O342" s="17"/>
      <c r="P342" s="15"/>
      <c r="Q342" s="17"/>
      <c r="R342" s="17"/>
      <c r="S342" s="17"/>
      <c r="T342" s="17"/>
      <c r="U342" s="18" t="str">
        <f aca="false">IF(A342="","",IF(N(G342)-N(L342)-N(N342)&lt;0,"Check shares",IF(AND(P342&lt;&gt;"",Q342&lt;&gt;""),"Closed","Open")))</f>
        <v/>
      </c>
      <c r="V342" s="19" t="str">
        <f aca="false">IF(OR(F342="",P342=""),"",NETWORKDAYS(F342,P342,Lists!$F$5:$F$40)-1)</f>
        <v/>
      </c>
      <c r="W342" s="18" t="str">
        <f aca="false">IF(V342="","",IF(V342=0,"Same day","Overnight"))</f>
        <v/>
      </c>
      <c r="X342" s="18" t="str">
        <f aca="false">IF(OR(E342="",F342=""),"",IF(AND(E342&gt;=F342,OR(P342="",E342&lt;=P342)),"Yes","No"))</f>
        <v/>
      </c>
      <c r="Y342" s="20" t="str">
        <f aca="false">IF(A342="","",N(G342)-N(L342)-N(N342))</f>
        <v/>
      </c>
      <c r="Z342" s="21" t="str">
        <f aca="false">IF(OR(G342="",H342="",I342=""),"",ABS(H342-I342)*G342)</f>
        <v/>
      </c>
      <c r="AA342" s="22" t="str">
        <f aca="false">IF(OR(J342="",N(Z342)=0),"",ABS(J342-H342)/ABS(H342-I342))</f>
        <v/>
      </c>
      <c r="AB342" s="23" t="str">
        <f aca="false">IF(U342&lt;&gt;"Closed","",(N(L342)*N(M342)+N(N342)*N(O342)+Y342*Q342)/G342)</f>
        <v/>
      </c>
      <c r="AC342" s="24" t="str">
        <f aca="false">IF(U342&lt;&gt;"Closed","",IF($B342="Short",-1,1)*((N(M342)-H342)*N(L342)+(N(O342)-H342)*N(N342)+(Q342-H342)*Y342)-N(R342))</f>
        <v/>
      </c>
      <c r="AD342" s="25" t="str">
        <f aca="false">IF(OR(AC342="",N(Z342)=0),"",AC342/Z342)</f>
        <v/>
      </c>
      <c r="AE342" s="25" t="str">
        <f aca="false">IF(OR(S342="",N(Z342)=0),"",IF($B342="Short",-1,1)*(S342-H342)*G342/Z342)</f>
        <v/>
      </c>
      <c r="AF342" s="25" t="str">
        <f aca="false">IF(OR(T342="",N(Z342)=0),"",IF($B342="Short",-1,1)*(T342-H342)*G342/Z342)</f>
        <v/>
      </c>
      <c r="AG342" s="21" t="str">
        <f aca="false">IF(U342&lt;&gt;"Open","",Y342*MAX(0,IF($B342="Short",-1,1)*(H342-IF(K342="",I342,K342))))</f>
        <v/>
      </c>
      <c r="AH342" s="26" t="str">
        <f aca="false">IF(U342&lt;&gt;"Closed","",DATE(YEAR(P342),MONTH(P342),1))</f>
        <v/>
      </c>
      <c r="AI342" s="19" t="str">
        <f aca="false">IF(U342&lt;&gt;"Closed","",COUNTIFS($U$7:$U$506,"Closed",$P$7:$P$506,"&lt;"&amp;P342)+COUNTIFS($U$7:U342,"Closed",$P$7:P342,P342))</f>
        <v/>
      </c>
    </row>
    <row r="343" customFormat="false" ht="15" hidden="false" customHeight="false" outlineLevel="0" collapsed="false">
      <c r="A343" s="13"/>
      <c r="B343" s="14"/>
      <c r="C343" s="14"/>
      <c r="D343" s="14"/>
      <c r="E343" s="15"/>
      <c r="F343" s="15"/>
      <c r="G343" s="16"/>
      <c r="H343" s="17"/>
      <c r="I343" s="17"/>
      <c r="J343" s="17"/>
      <c r="K343" s="17"/>
      <c r="L343" s="16"/>
      <c r="M343" s="17"/>
      <c r="N343" s="16"/>
      <c r="O343" s="17"/>
      <c r="P343" s="15"/>
      <c r="Q343" s="17"/>
      <c r="R343" s="17"/>
      <c r="S343" s="17"/>
      <c r="T343" s="17"/>
      <c r="U343" s="18" t="str">
        <f aca="false">IF(A343="","",IF(N(G343)-N(L343)-N(N343)&lt;0,"Check shares",IF(AND(P343&lt;&gt;"",Q343&lt;&gt;""),"Closed","Open")))</f>
        <v/>
      </c>
      <c r="V343" s="19" t="str">
        <f aca="false">IF(OR(F343="",P343=""),"",NETWORKDAYS(F343,P343,Lists!$F$5:$F$40)-1)</f>
        <v/>
      </c>
      <c r="W343" s="18" t="str">
        <f aca="false">IF(V343="","",IF(V343=0,"Same day","Overnight"))</f>
        <v/>
      </c>
      <c r="X343" s="18" t="str">
        <f aca="false">IF(OR(E343="",F343=""),"",IF(AND(E343&gt;=F343,OR(P343="",E343&lt;=P343)),"Yes","No"))</f>
        <v/>
      </c>
      <c r="Y343" s="20" t="str">
        <f aca="false">IF(A343="","",N(G343)-N(L343)-N(N343))</f>
        <v/>
      </c>
      <c r="Z343" s="21" t="str">
        <f aca="false">IF(OR(G343="",H343="",I343=""),"",ABS(H343-I343)*G343)</f>
        <v/>
      </c>
      <c r="AA343" s="22" t="str">
        <f aca="false">IF(OR(J343="",N(Z343)=0),"",ABS(J343-H343)/ABS(H343-I343))</f>
        <v/>
      </c>
      <c r="AB343" s="23" t="str">
        <f aca="false">IF(U343&lt;&gt;"Closed","",(N(L343)*N(M343)+N(N343)*N(O343)+Y343*Q343)/G343)</f>
        <v/>
      </c>
      <c r="AC343" s="24" t="str">
        <f aca="false">IF(U343&lt;&gt;"Closed","",IF($B343="Short",-1,1)*((N(M343)-H343)*N(L343)+(N(O343)-H343)*N(N343)+(Q343-H343)*Y343)-N(R343))</f>
        <v/>
      </c>
      <c r="AD343" s="25" t="str">
        <f aca="false">IF(OR(AC343="",N(Z343)=0),"",AC343/Z343)</f>
        <v/>
      </c>
      <c r="AE343" s="25" t="str">
        <f aca="false">IF(OR(S343="",N(Z343)=0),"",IF($B343="Short",-1,1)*(S343-H343)*G343/Z343)</f>
        <v/>
      </c>
      <c r="AF343" s="25" t="str">
        <f aca="false">IF(OR(T343="",N(Z343)=0),"",IF($B343="Short",-1,1)*(T343-H343)*G343/Z343)</f>
        <v/>
      </c>
      <c r="AG343" s="21" t="str">
        <f aca="false">IF(U343&lt;&gt;"Open","",Y343*MAX(0,IF($B343="Short",-1,1)*(H343-IF(K343="",I343,K343))))</f>
        <v/>
      </c>
      <c r="AH343" s="26" t="str">
        <f aca="false">IF(U343&lt;&gt;"Closed","",DATE(YEAR(P343),MONTH(P343),1))</f>
        <v/>
      </c>
      <c r="AI343" s="19" t="str">
        <f aca="false">IF(U343&lt;&gt;"Closed","",COUNTIFS($U$7:$U$506,"Closed",$P$7:$P$506,"&lt;"&amp;P343)+COUNTIFS($U$7:U343,"Closed",$P$7:P343,P343))</f>
        <v/>
      </c>
    </row>
    <row r="344" customFormat="false" ht="15" hidden="false" customHeight="false" outlineLevel="0" collapsed="false">
      <c r="A344" s="13"/>
      <c r="B344" s="14"/>
      <c r="C344" s="14"/>
      <c r="D344" s="14"/>
      <c r="E344" s="15"/>
      <c r="F344" s="15"/>
      <c r="G344" s="16"/>
      <c r="H344" s="17"/>
      <c r="I344" s="17"/>
      <c r="J344" s="17"/>
      <c r="K344" s="17"/>
      <c r="L344" s="16"/>
      <c r="M344" s="17"/>
      <c r="N344" s="16"/>
      <c r="O344" s="17"/>
      <c r="P344" s="15"/>
      <c r="Q344" s="17"/>
      <c r="R344" s="17"/>
      <c r="S344" s="17"/>
      <c r="T344" s="17"/>
      <c r="U344" s="18" t="str">
        <f aca="false">IF(A344="","",IF(N(G344)-N(L344)-N(N344)&lt;0,"Check shares",IF(AND(P344&lt;&gt;"",Q344&lt;&gt;""),"Closed","Open")))</f>
        <v/>
      </c>
      <c r="V344" s="19" t="str">
        <f aca="false">IF(OR(F344="",P344=""),"",NETWORKDAYS(F344,P344,Lists!$F$5:$F$40)-1)</f>
        <v/>
      </c>
      <c r="W344" s="18" t="str">
        <f aca="false">IF(V344="","",IF(V344=0,"Same day","Overnight"))</f>
        <v/>
      </c>
      <c r="X344" s="18" t="str">
        <f aca="false">IF(OR(E344="",F344=""),"",IF(AND(E344&gt;=F344,OR(P344="",E344&lt;=P344)),"Yes","No"))</f>
        <v/>
      </c>
      <c r="Y344" s="20" t="str">
        <f aca="false">IF(A344="","",N(G344)-N(L344)-N(N344))</f>
        <v/>
      </c>
      <c r="Z344" s="21" t="str">
        <f aca="false">IF(OR(G344="",H344="",I344=""),"",ABS(H344-I344)*G344)</f>
        <v/>
      </c>
      <c r="AA344" s="22" t="str">
        <f aca="false">IF(OR(J344="",N(Z344)=0),"",ABS(J344-H344)/ABS(H344-I344))</f>
        <v/>
      </c>
      <c r="AB344" s="23" t="str">
        <f aca="false">IF(U344&lt;&gt;"Closed","",(N(L344)*N(M344)+N(N344)*N(O344)+Y344*Q344)/G344)</f>
        <v/>
      </c>
      <c r="AC344" s="24" t="str">
        <f aca="false">IF(U344&lt;&gt;"Closed","",IF($B344="Short",-1,1)*((N(M344)-H344)*N(L344)+(N(O344)-H344)*N(N344)+(Q344-H344)*Y344)-N(R344))</f>
        <v/>
      </c>
      <c r="AD344" s="25" t="str">
        <f aca="false">IF(OR(AC344="",N(Z344)=0),"",AC344/Z344)</f>
        <v/>
      </c>
      <c r="AE344" s="25" t="str">
        <f aca="false">IF(OR(S344="",N(Z344)=0),"",IF($B344="Short",-1,1)*(S344-H344)*G344/Z344)</f>
        <v/>
      </c>
      <c r="AF344" s="25" t="str">
        <f aca="false">IF(OR(T344="",N(Z344)=0),"",IF($B344="Short",-1,1)*(T344-H344)*G344/Z344)</f>
        <v/>
      </c>
      <c r="AG344" s="21" t="str">
        <f aca="false">IF(U344&lt;&gt;"Open","",Y344*MAX(0,IF($B344="Short",-1,1)*(H344-IF(K344="",I344,K344))))</f>
        <v/>
      </c>
      <c r="AH344" s="26" t="str">
        <f aca="false">IF(U344&lt;&gt;"Closed","",DATE(YEAR(P344),MONTH(P344),1))</f>
        <v/>
      </c>
      <c r="AI344" s="19" t="str">
        <f aca="false">IF(U344&lt;&gt;"Closed","",COUNTIFS($U$7:$U$506,"Closed",$P$7:$P$506,"&lt;"&amp;P344)+COUNTIFS($U$7:U344,"Closed",$P$7:P344,P344))</f>
        <v/>
      </c>
    </row>
    <row r="345" customFormat="false" ht="15" hidden="false" customHeight="false" outlineLevel="0" collapsed="false">
      <c r="A345" s="13"/>
      <c r="B345" s="14"/>
      <c r="C345" s="14"/>
      <c r="D345" s="14"/>
      <c r="E345" s="15"/>
      <c r="F345" s="15"/>
      <c r="G345" s="16"/>
      <c r="H345" s="17"/>
      <c r="I345" s="17"/>
      <c r="J345" s="17"/>
      <c r="K345" s="17"/>
      <c r="L345" s="16"/>
      <c r="M345" s="17"/>
      <c r="N345" s="16"/>
      <c r="O345" s="17"/>
      <c r="P345" s="15"/>
      <c r="Q345" s="17"/>
      <c r="R345" s="17"/>
      <c r="S345" s="17"/>
      <c r="T345" s="17"/>
      <c r="U345" s="18" t="str">
        <f aca="false">IF(A345="","",IF(N(G345)-N(L345)-N(N345)&lt;0,"Check shares",IF(AND(P345&lt;&gt;"",Q345&lt;&gt;""),"Closed","Open")))</f>
        <v/>
      </c>
      <c r="V345" s="19" t="str">
        <f aca="false">IF(OR(F345="",P345=""),"",NETWORKDAYS(F345,P345,Lists!$F$5:$F$40)-1)</f>
        <v/>
      </c>
      <c r="W345" s="18" t="str">
        <f aca="false">IF(V345="","",IF(V345=0,"Same day","Overnight"))</f>
        <v/>
      </c>
      <c r="X345" s="18" t="str">
        <f aca="false">IF(OR(E345="",F345=""),"",IF(AND(E345&gt;=F345,OR(P345="",E345&lt;=P345)),"Yes","No"))</f>
        <v/>
      </c>
      <c r="Y345" s="20" t="str">
        <f aca="false">IF(A345="","",N(G345)-N(L345)-N(N345))</f>
        <v/>
      </c>
      <c r="Z345" s="21" t="str">
        <f aca="false">IF(OR(G345="",H345="",I345=""),"",ABS(H345-I345)*G345)</f>
        <v/>
      </c>
      <c r="AA345" s="22" t="str">
        <f aca="false">IF(OR(J345="",N(Z345)=0),"",ABS(J345-H345)/ABS(H345-I345))</f>
        <v/>
      </c>
      <c r="AB345" s="23" t="str">
        <f aca="false">IF(U345&lt;&gt;"Closed","",(N(L345)*N(M345)+N(N345)*N(O345)+Y345*Q345)/G345)</f>
        <v/>
      </c>
      <c r="AC345" s="24" t="str">
        <f aca="false">IF(U345&lt;&gt;"Closed","",IF($B345="Short",-1,1)*((N(M345)-H345)*N(L345)+(N(O345)-H345)*N(N345)+(Q345-H345)*Y345)-N(R345))</f>
        <v/>
      </c>
      <c r="AD345" s="25" t="str">
        <f aca="false">IF(OR(AC345="",N(Z345)=0),"",AC345/Z345)</f>
        <v/>
      </c>
      <c r="AE345" s="25" t="str">
        <f aca="false">IF(OR(S345="",N(Z345)=0),"",IF($B345="Short",-1,1)*(S345-H345)*G345/Z345)</f>
        <v/>
      </c>
      <c r="AF345" s="25" t="str">
        <f aca="false">IF(OR(T345="",N(Z345)=0),"",IF($B345="Short",-1,1)*(T345-H345)*G345/Z345)</f>
        <v/>
      </c>
      <c r="AG345" s="21" t="str">
        <f aca="false">IF(U345&lt;&gt;"Open","",Y345*MAX(0,IF($B345="Short",-1,1)*(H345-IF(K345="",I345,K345))))</f>
        <v/>
      </c>
      <c r="AH345" s="26" t="str">
        <f aca="false">IF(U345&lt;&gt;"Closed","",DATE(YEAR(P345),MONTH(P345),1))</f>
        <v/>
      </c>
      <c r="AI345" s="19" t="str">
        <f aca="false">IF(U345&lt;&gt;"Closed","",COUNTIFS($U$7:$U$506,"Closed",$P$7:$P$506,"&lt;"&amp;P345)+COUNTIFS($U$7:U345,"Closed",$P$7:P345,P345))</f>
        <v/>
      </c>
    </row>
    <row r="346" customFormat="false" ht="15" hidden="false" customHeight="false" outlineLevel="0" collapsed="false">
      <c r="A346" s="13"/>
      <c r="B346" s="14"/>
      <c r="C346" s="14"/>
      <c r="D346" s="14"/>
      <c r="E346" s="15"/>
      <c r="F346" s="15"/>
      <c r="G346" s="16"/>
      <c r="H346" s="17"/>
      <c r="I346" s="17"/>
      <c r="J346" s="17"/>
      <c r="K346" s="17"/>
      <c r="L346" s="16"/>
      <c r="M346" s="17"/>
      <c r="N346" s="16"/>
      <c r="O346" s="17"/>
      <c r="P346" s="15"/>
      <c r="Q346" s="17"/>
      <c r="R346" s="17"/>
      <c r="S346" s="17"/>
      <c r="T346" s="17"/>
      <c r="U346" s="18" t="str">
        <f aca="false">IF(A346="","",IF(N(G346)-N(L346)-N(N346)&lt;0,"Check shares",IF(AND(P346&lt;&gt;"",Q346&lt;&gt;""),"Closed","Open")))</f>
        <v/>
      </c>
      <c r="V346" s="19" t="str">
        <f aca="false">IF(OR(F346="",P346=""),"",NETWORKDAYS(F346,P346,Lists!$F$5:$F$40)-1)</f>
        <v/>
      </c>
      <c r="W346" s="18" t="str">
        <f aca="false">IF(V346="","",IF(V346=0,"Same day","Overnight"))</f>
        <v/>
      </c>
      <c r="X346" s="18" t="str">
        <f aca="false">IF(OR(E346="",F346=""),"",IF(AND(E346&gt;=F346,OR(P346="",E346&lt;=P346)),"Yes","No"))</f>
        <v/>
      </c>
      <c r="Y346" s="20" t="str">
        <f aca="false">IF(A346="","",N(G346)-N(L346)-N(N346))</f>
        <v/>
      </c>
      <c r="Z346" s="21" t="str">
        <f aca="false">IF(OR(G346="",H346="",I346=""),"",ABS(H346-I346)*G346)</f>
        <v/>
      </c>
      <c r="AA346" s="22" t="str">
        <f aca="false">IF(OR(J346="",N(Z346)=0),"",ABS(J346-H346)/ABS(H346-I346))</f>
        <v/>
      </c>
      <c r="AB346" s="23" t="str">
        <f aca="false">IF(U346&lt;&gt;"Closed","",(N(L346)*N(M346)+N(N346)*N(O346)+Y346*Q346)/G346)</f>
        <v/>
      </c>
      <c r="AC346" s="24" t="str">
        <f aca="false">IF(U346&lt;&gt;"Closed","",IF($B346="Short",-1,1)*((N(M346)-H346)*N(L346)+(N(O346)-H346)*N(N346)+(Q346-H346)*Y346)-N(R346))</f>
        <v/>
      </c>
      <c r="AD346" s="25" t="str">
        <f aca="false">IF(OR(AC346="",N(Z346)=0),"",AC346/Z346)</f>
        <v/>
      </c>
      <c r="AE346" s="25" t="str">
        <f aca="false">IF(OR(S346="",N(Z346)=0),"",IF($B346="Short",-1,1)*(S346-H346)*G346/Z346)</f>
        <v/>
      </c>
      <c r="AF346" s="25" t="str">
        <f aca="false">IF(OR(T346="",N(Z346)=0),"",IF($B346="Short",-1,1)*(T346-H346)*G346/Z346)</f>
        <v/>
      </c>
      <c r="AG346" s="21" t="str">
        <f aca="false">IF(U346&lt;&gt;"Open","",Y346*MAX(0,IF($B346="Short",-1,1)*(H346-IF(K346="",I346,K346))))</f>
        <v/>
      </c>
      <c r="AH346" s="26" t="str">
        <f aca="false">IF(U346&lt;&gt;"Closed","",DATE(YEAR(P346),MONTH(P346),1))</f>
        <v/>
      </c>
      <c r="AI346" s="19" t="str">
        <f aca="false">IF(U346&lt;&gt;"Closed","",COUNTIFS($U$7:$U$506,"Closed",$P$7:$P$506,"&lt;"&amp;P346)+COUNTIFS($U$7:U346,"Closed",$P$7:P346,P346))</f>
        <v/>
      </c>
    </row>
    <row r="347" customFormat="false" ht="15" hidden="false" customHeight="false" outlineLevel="0" collapsed="false">
      <c r="A347" s="13"/>
      <c r="B347" s="14"/>
      <c r="C347" s="14"/>
      <c r="D347" s="14"/>
      <c r="E347" s="15"/>
      <c r="F347" s="15"/>
      <c r="G347" s="16"/>
      <c r="H347" s="17"/>
      <c r="I347" s="17"/>
      <c r="J347" s="17"/>
      <c r="K347" s="17"/>
      <c r="L347" s="16"/>
      <c r="M347" s="17"/>
      <c r="N347" s="16"/>
      <c r="O347" s="17"/>
      <c r="P347" s="15"/>
      <c r="Q347" s="17"/>
      <c r="R347" s="17"/>
      <c r="S347" s="17"/>
      <c r="T347" s="17"/>
      <c r="U347" s="18" t="str">
        <f aca="false">IF(A347="","",IF(N(G347)-N(L347)-N(N347)&lt;0,"Check shares",IF(AND(P347&lt;&gt;"",Q347&lt;&gt;""),"Closed","Open")))</f>
        <v/>
      </c>
      <c r="V347" s="19" t="str">
        <f aca="false">IF(OR(F347="",P347=""),"",NETWORKDAYS(F347,P347,Lists!$F$5:$F$40)-1)</f>
        <v/>
      </c>
      <c r="W347" s="18" t="str">
        <f aca="false">IF(V347="","",IF(V347=0,"Same day","Overnight"))</f>
        <v/>
      </c>
      <c r="X347" s="18" t="str">
        <f aca="false">IF(OR(E347="",F347=""),"",IF(AND(E347&gt;=F347,OR(P347="",E347&lt;=P347)),"Yes","No"))</f>
        <v/>
      </c>
      <c r="Y347" s="20" t="str">
        <f aca="false">IF(A347="","",N(G347)-N(L347)-N(N347))</f>
        <v/>
      </c>
      <c r="Z347" s="21" t="str">
        <f aca="false">IF(OR(G347="",H347="",I347=""),"",ABS(H347-I347)*G347)</f>
        <v/>
      </c>
      <c r="AA347" s="22" t="str">
        <f aca="false">IF(OR(J347="",N(Z347)=0),"",ABS(J347-H347)/ABS(H347-I347))</f>
        <v/>
      </c>
      <c r="AB347" s="23" t="str">
        <f aca="false">IF(U347&lt;&gt;"Closed","",(N(L347)*N(M347)+N(N347)*N(O347)+Y347*Q347)/G347)</f>
        <v/>
      </c>
      <c r="AC347" s="24" t="str">
        <f aca="false">IF(U347&lt;&gt;"Closed","",IF($B347="Short",-1,1)*((N(M347)-H347)*N(L347)+(N(O347)-H347)*N(N347)+(Q347-H347)*Y347)-N(R347))</f>
        <v/>
      </c>
      <c r="AD347" s="25" t="str">
        <f aca="false">IF(OR(AC347="",N(Z347)=0),"",AC347/Z347)</f>
        <v/>
      </c>
      <c r="AE347" s="25" t="str">
        <f aca="false">IF(OR(S347="",N(Z347)=0),"",IF($B347="Short",-1,1)*(S347-H347)*G347/Z347)</f>
        <v/>
      </c>
      <c r="AF347" s="25" t="str">
        <f aca="false">IF(OR(T347="",N(Z347)=0),"",IF($B347="Short",-1,1)*(T347-H347)*G347/Z347)</f>
        <v/>
      </c>
      <c r="AG347" s="21" t="str">
        <f aca="false">IF(U347&lt;&gt;"Open","",Y347*MAX(0,IF($B347="Short",-1,1)*(H347-IF(K347="",I347,K347))))</f>
        <v/>
      </c>
      <c r="AH347" s="26" t="str">
        <f aca="false">IF(U347&lt;&gt;"Closed","",DATE(YEAR(P347),MONTH(P347),1))</f>
        <v/>
      </c>
      <c r="AI347" s="19" t="str">
        <f aca="false">IF(U347&lt;&gt;"Closed","",COUNTIFS($U$7:$U$506,"Closed",$P$7:$P$506,"&lt;"&amp;P347)+COUNTIFS($U$7:U347,"Closed",$P$7:P347,P347))</f>
        <v/>
      </c>
    </row>
    <row r="348" customFormat="false" ht="15" hidden="false" customHeight="false" outlineLevel="0" collapsed="false">
      <c r="A348" s="13"/>
      <c r="B348" s="14"/>
      <c r="C348" s="14"/>
      <c r="D348" s="14"/>
      <c r="E348" s="15"/>
      <c r="F348" s="15"/>
      <c r="G348" s="16"/>
      <c r="H348" s="17"/>
      <c r="I348" s="17"/>
      <c r="J348" s="17"/>
      <c r="K348" s="17"/>
      <c r="L348" s="16"/>
      <c r="M348" s="17"/>
      <c r="N348" s="16"/>
      <c r="O348" s="17"/>
      <c r="P348" s="15"/>
      <c r="Q348" s="17"/>
      <c r="R348" s="17"/>
      <c r="S348" s="17"/>
      <c r="T348" s="17"/>
      <c r="U348" s="18" t="str">
        <f aca="false">IF(A348="","",IF(N(G348)-N(L348)-N(N348)&lt;0,"Check shares",IF(AND(P348&lt;&gt;"",Q348&lt;&gt;""),"Closed","Open")))</f>
        <v/>
      </c>
      <c r="V348" s="19" t="str">
        <f aca="false">IF(OR(F348="",P348=""),"",NETWORKDAYS(F348,P348,Lists!$F$5:$F$40)-1)</f>
        <v/>
      </c>
      <c r="W348" s="18" t="str">
        <f aca="false">IF(V348="","",IF(V348=0,"Same day","Overnight"))</f>
        <v/>
      </c>
      <c r="X348" s="18" t="str">
        <f aca="false">IF(OR(E348="",F348=""),"",IF(AND(E348&gt;=F348,OR(P348="",E348&lt;=P348)),"Yes","No"))</f>
        <v/>
      </c>
      <c r="Y348" s="20" t="str">
        <f aca="false">IF(A348="","",N(G348)-N(L348)-N(N348))</f>
        <v/>
      </c>
      <c r="Z348" s="21" t="str">
        <f aca="false">IF(OR(G348="",H348="",I348=""),"",ABS(H348-I348)*G348)</f>
        <v/>
      </c>
      <c r="AA348" s="22" t="str">
        <f aca="false">IF(OR(J348="",N(Z348)=0),"",ABS(J348-H348)/ABS(H348-I348))</f>
        <v/>
      </c>
      <c r="AB348" s="23" t="str">
        <f aca="false">IF(U348&lt;&gt;"Closed","",(N(L348)*N(M348)+N(N348)*N(O348)+Y348*Q348)/G348)</f>
        <v/>
      </c>
      <c r="AC348" s="24" t="str">
        <f aca="false">IF(U348&lt;&gt;"Closed","",IF($B348="Short",-1,1)*((N(M348)-H348)*N(L348)+(N(O348)-H348)*N(N348)+(Q348-H348)*Y348)-N(R348))</f>
        <v/>
      </c>
      <c r="AD348" s="25" t="str">
        <f aca="false">IF(OR(AC348="",N(Z348)=0),"",AC348/Z348)</f>
        <v/>
      </c>
      <c r="AE348" s="25" t="str">
        <f aca="false">IF(OR(S348="",N(Z348)=0),"",IF($B348="Short",-1,1)*(S348-H348)*G348/Z348)</f>
        <v/>
      </c>
      <c r="AF348" s="25" t="str">
        <f aca="false">IF(OR(T348="",N(Z348)=0),"",IF($B348="Short",-1,1)*(T348-H348)*G348/Z348)</f>
        <v/>
      </c>
      <c r="AG348" s="21" t="str">
        <f aca="false">IF(U348&lt;&gt;"Open","",Y348*MAX(0,IF($B348="Short",-1,1)*(H348-IF(K348="",I348,K348))))</f>
        <v/>
      </c>
      <c r="AH348" s="26" t="str">
        <f aca="false">IF(U348&lt;&gt;"Closed","",DATE(YEAR(P348),MONTH(P348),1))</f>
        <v/>
      </c>
      <c r="AI348" s="19" t="str">
        <f aca="false">IF(U348&lt;&gt;"Closed","",COUNTIFS($U$7:$U$506,"Closed",$P$7:$P$506,"&lt;"&amp;P348)+COUNTIFS($U$7:U348,"Closed",$P$7:P348,P348))</f>
        <v/>
      </c>
    </row>
    <row r="349" customFormat="false" ht="15" hidden="false" customHeight="false" outlineLevel="0" collapsed="false">
      <c r="A349" s="13"/>
      <c r="B349" s="14"/>
      <c r="C349" s="14"/>
      <c r="D349" s="14"/>
      <c r="E349" s="15"/>
      <c r="F349" s="15"/>
      <c r="G349" s="16"/>
      <c r="H349" s="17"/>
      <c r="I349" s="17"/>
      <c r="J349" s="17"/>
      <c r="K349" s="17"/>
      <c r="L349" s="16"/>
      <c r="M349" s="17"/>
      <c r="N349" s="16"/>
      <c r="O349" s="17"/>
      <c r="P349" s="15"/>
      <c r="Q349" s="17"/>
      <c r="R349" s="17"/>
      <c r="S349" s="17"/>
      <c r="T349" s="17"/>
      <c r="U349" s="18" t="str">
        <f aca="false">IF(A349="","",IF(N(G349)-N(L349)-N(N349)&lt;0,"Check shares",IF(AND(P349&lt;&gt;"",Q349&lt;&gt;""),"Closed","Open")))</f>
        <v/>
      </c>
      <c r="V349" s="19" t="str">
        <f aca="false">IF(OR(F349="",P349=""),"",NETWORKDAYS(F349,P349,Lists!$F$5:$F$40)-1)</f>
        <v/>
      </c>
      <c r="W349" s="18" t="str">
        <f aca="false">IF(V349="","",IF(V349=0,"Same day","Overnight"))</f>
        <v/>
      </c>
      <c r="X349" s="18" t="str">
        <f aca="false">IF(OR(E349="",F349=""),"",IF(AND(E349&gt;=F349,OR(P349="",E349&lt;=P349)),"Yes","No"))</f>
        <v/>
      </c>
      <c r="Y349" s="20" t="str">
        <f aca="false">IF(A349="","",N(G349)-N(L349)-N(N349))</f>
        <v/>
      </c>
      <c r="Z349" s="21" t="str">
        <f aca="false">IF(OR(G349="",H349="",I349=""),"",ABS(H349-I349)*G349)</f>
        <v/>
      </c>
      <c r="AA349" s="22" t="str">
        <f aca="false">IF(OR(J349="",N(Z349)=0),"",ABS(J349-H349)/ABS(H349-I349))</f>
        <v/>
      </c>
      <c r="AB349" s="23" t="str">
        <f aca="false">IF(U349&lt;&gt;"Closed","",(N(L349)*N(M349)+N(N349)*N(O349)+Y349*Q349)/G349)</f>
        <v/>
      </c>
      <c r="AC349" s="24" t="str">
        <f aca="false">IF(U349&lt;&gt;"Closed","",IF($B349="Short",-1,1)*((N(M349)-H349)*N(L349)+(N(O349)-H349)*N(N349)+(Q349-H349)*Y349)-N(R349))</f>
        <v/>
      </c>
      <c r="AD349" s="25" t="str">
        <f aca="false">IF(OR(AC349="",N(Z349)=0),"",AC349/Z349)</f>
        <v/>
      </c>
      <c r="AE349" s="25" t="str">
        <f aca="false">IF(OR(S349="",N(Z349)=0),"",IF($B349="Short",-1,1)*(S349-H349)*G349/Z349)</f>
        <v/>
      </c>
      <c r="AF349" s="25" t="str">
        <f aca="false">IF(OR(T349="",N(Z349)=0),"",IF($B349="Short",-1,1)*(T349-H349)*G349/Z349)</f>
        <v/>
      </c>
      <c r="AG349" s="21" t="str">
        <f aca="false">IF(U349&lt;&gt;"Open","",Y349*MAX(0,IF($B349="Short",-1,1)*(H349-IF(K349="",I349,K349))))</f>
        <v/>
      </c>
      <c r="AH349" s="26" t="str">
        <f aca="false">IF(U349&lt;&gt;"Closed","",DATE(YEAR(P349),MONTH(P349),1))</f>
        <v/>
      </c>
      <c r="AI349" s="19" t="str">
        <f aca="false">IF(U349&lt;&gt;"Closed","",COUNTIFS($U$7:$U$506,"Closed",$P$7:$P$506,"&lt;"&amp;P349)+COUNTIFS($U$7:U349,"Closed",$P$7:P349,P349))</f>
        <v/>
      </c>
    </row>
    <row r="350" customFormat="false" ht="15" hidden="false" customHeight="false" outlineLevel="0" collapsed="false">
      <c r="A350" s="13"/>
      <c r="B350" s="14"/>
      <c r="C350" s="14"/>
      <c r="D350" s="14"/>
      <c r="E350" s="15"/>
      <c r="F350" s="15"/>
      <c r="G350" s="16"/>
      <c r="H350" s="17"/>
      <c r="I350" s="17"/>
      <c r="J350" s="17"/>
      <c r="K350" s="17"/>
      <c r="L350" s="16"/>
      <c r="M350" s="17"/>
      <c r="N350" s="16"/>
      <c r="O350" s="17"/>
      <c r="P350" s="15"/>
      <c r="Q350" s="17"/>
      <c r="R350" s="17"/>
      <c r="S350" s="17"/>
      <c r="T350" s="17"/>
      <c r="U350" s="18" t="str">
        <f aca="false">IF(A350="","",IF(N(G350)-N(L350)-N(N350)&lt;0,"Check shares",IF(AND(P350&lt;&gt;"",Q350&lt;&gt;""),"Closed","Open")))</f>
        <v/>
      </c>
      <c r="V350" s="19" t="str">
        <f aca="false">IF(OR(F350="",P350=""),"",NETWORKDAYS(F350,P350,Lists!$F$5:$F$40)-1)</f>
        <v/>
      </c>
      <c r="W350" s="18" t="str">
        <f aca="false">IF(V350="","",IF(V350=0,"Same day","Overnight"))</f>
        <v/>
      </c>
      <c r="X350" s="18" t="str">
        <f aca="false">IF(OR(E350="",F350=""),"",IF(AND(E350&gt;=F350,OR(P350="",E350&lt;=P350)),"Yes","No"))</f>
        <v/>
      </c>
      <c r="Y350" s="20" t="str">
        <f aca="false">IF(A350="","",N(G350)-N(L350)-N(N350))</f>
        <v/>
      </c>
      <c r="Z350" s="21" t="str">
        <f aca="false">IF(OR(G350="",H350="",I350=""),"",ABS(H350-I350)*G350)</f>
        <v/>
      </c>
      <c r="AA350" s="22" t="str">
        <f aca="false">IF(OR(J350="",N(Z350)=0),"",ABS(J350-H350)/ABS(H350-I350))</f>
        <v/>
      </c>
      <c r="AB350" s="23" t="str">
        <f aca="false">IF(U350&lt;&gt;"Closed","",(N(L350)*N(M350)+N(N350)*N(O350)+Y350*Q350)/G350)</f>
        <v/>
      </c>
      <c r="AC350" s="24" t="str">
        <f aca="false">IF(U350&lt;&gt;"Closed","",IF($B350="Short",-1,1)*((N(M350)-H350)*N(L350)+(N(O350)-H350)*N(N350)+(Q350-H350)*Y350)-N(R350))</f>
        <v/>
      </c>
      <c r="AD350" s="25" t="str">
        <f aca="false">IF(OR(AC350="",N(Z350)=0),"",AC350/Z350)</f>
        <v/>
      </c>
      <c r="AE350" s="25" t="str">
        <f aca="false">IF(OR(S350="",N(Z350)=0),"",IF($B350="Short",-1,1)*(S350-H350)*G350/Z350)</f>
        <v/>
      </c>
      <c r="AF350" s="25" t="str">
        <f aca="false">IF(OR(T350="",N(Z350)=0),"",IF($B350="Short",-1,1)*(T350-H350)*G350/Z350)</f>
        <v/>
      </c>
      <c r="AG350" s="21" t="str">
        <f aca="false">IF(U350&lt;&gt;"Open","",Y350*MAX(0,IF($B350="Short",-1,1)*(H350-IF(K350="",I350,K350))))</f>
        <v/>
      </c>
      <c r="AH350" s="26" t="str">
        <f aca="false">IF(U350&lt;&gt;"Closed","",DATE(YEAR(P350),MONTH(P350),1))</f>
        <v/>
      </c>
      <c r="AI350" s="19" t="str">
        <f aca="false">IF(U350&lt;&gt;"Closed","",COUNTIFS($U$7:$U$506,"Closed",$P$7:$P$506,"&lt;"&amp;P350)+COUNTIFS($U$7:U350,"Closed",$P$7:P350,P350))</f>
        <v/>
      </c>
    </row>
    <row r="351" customFormat="false" ht="15" hidden="false" customHeight="false" outlineLevel="0" collapsed="false">
      <c r="A351" s="13"/>
      <c r="B351" s="14"/>
      <c r="C351" s="14"/>
      <c r="D351" s="14"/>
      <c r="E351" s="15"/>
      <c r="F351" s="15"/>
      <c r="G351" s="16"/>
      <c r="H351" s="17"/>
      <c r="I351" s="17"/>
      <c r="J351" s="17"/>
      <c r="K351" s="17"/>
      <c r="L351" s="16"/>
      <c r="M351" s="17"/>
      <c r="N351" s="16"/>
      <c r="O351" s="17"/>
      <c r="P351" s="15"/>
      <c r="Q351" s="17"/>
      <c r="R351" s="17"/>
      <c r="S351" s="17"/>
      <c r="T351" s="17"/>
      <c r="U351" s="18" t="str">
        <f aca="false">IF(A351="","",IF(N(G351)-N(L351)-N(N351)&lt;0,"Check shares",IF(AND(P351&lt;&gt;"",Q351&lt;&gt;""),"Closed","Open")))</f>
        <v/>
      </c>
      <c r="V351" s="19" t="str">
        <f aca="false">IF(OR(F351="",P351=""),"",NETWORKDAYS(F351,P351,Lists!$F$5:$F$40)-1)</f>
        <v/>
      </c>
      <c r="W351" s="18" t="str">
        <f aca="false">IF(V351="","",IF(V351=0,"Same day","Overnight"))</f>
        <v/>
      </c>
      <c r="X351" s="18" t="str">
        <f aca="false">IF(OR(E351="",F351=""),"",IF(AND(E351&gt;=F351,OR(P351="",E351&lt;=P351)),"Yes","No"))</f>
        <v/>
      </c>
      <c r="Y351" s="20" t="str">
        <f aca="false">IF(A351="","",N(G351)-N(L351)-N(N351))</f>
        <v/>
      </c>
      <c r="Z351" s="21" t="str">
        <f aca="false">IF(OR(G351="",H351="",I351=""),"",ABS(H351-I351)*G351)</f>
        <v/>
      </c>
      <c r="AA351" s="22" t="str">
        <f aca="false">IF(OR(J351="",N(Z351)=0),"",ABS(J351-H351)/ABS(H351-I351))</f>
        <v/>
      </c>
      <c r="AB351" s="23" t="str">
        <f aca="false">IF(U351&lt;&gt;"Closed","",(N(L351)*N(M351)+N(N351)*N(O351)+Y351*Q351)/G351)</f>
        <v/>
      </c>
      <c r="AC351" s="24" t="str">
        <f aca="false">IF(U351&lt;&gt;"Closed","",IF($B351="Short",-1,1)*((N(M351)-H351)*N(L351)+(N(O351)-H351)*N(N351)+(Q351-H351)*Y351)-N(R351))</f>
        <v/>
      </c>
      <c r="AD351" s="25" t="str">
        <f aca="false">IF(OR(AC351="",N(Z351)=0),"",AC351/Z351)</f>
        <v/>
      </c>
      <c r="AE351" s="25" t="str">
        <f aca="false">IF(OR(S351="",N(Z351)=0),"",IF($B351="Short",-1,1)*(S351-H351)*G351/Z351)</f>
        <v/>
      </c>
      <c r="AF351" s="25" t="str">
        <f aca="false">IF(OR(T351="",N(Z351)=0),"",IF($B351="Short",-1,1)*(T351-H351)*G351/Z351)</f>
        <v/>
      </c>
      <c r="AG351" s="21" t="str">
        <f aca="false">IF(U351&lt;&gt;"Open","",Y351*MAX(0,IF($B351="Short",-1,1)*(H351-IF(K351="",I351,K351))))</f>
        <v/>
      </c>
      <c r="AH351" s="26" t="str">
        <f aca="false">IF(U351&lt;&gt;"Closed","",DATE(YEAR(P351),MONTH(P351),1))</f>
        <v/>
      </c>
      <c r="AI351" s="19" t="str">
        <f aca="false">IF(U351&lt;&gt;"Closed","",COUNTIFS($U$7:$U$506,"Closed",$P$7:$P$506,"&lt;"&amp;P351)+COUNTIFS($U$7:U351,"Closed",$P$7:P351,P351))</f>
        <v/>
      </c>
    </row>
    <row r="352" customFormat="false" ht="15" hidden="false" customHeight="false" outlineLevel="0" collapsed="false">
      <c r="A352" s="13"/>
      <c r="B352" s="14"/>
      <c r="C352" s="14"/>
      <c r="D352" s="14"/>
      <c r="E352" s="15"/>
      <c r="F352" s="15"/>
      <c r="G352" s="16"/>
      <c r="H352" s="17"/>
      <c r="I352" s="17"/>
      <c r="J352" s="17"/>
      <c r="K352" s="17"/>
      <c r="L352" s="16"/>
      <c r="M352" s="17"/>
      <c r="N352" s="16"/>
      <c r="O352" s="17"/>
      <c r="P352" s="15"/>
      <c r="Q352" s="17"/>
      <c r="R352" s="17"/>
      <c r="S352" s="17"/>
      <c r="T352" s="17"/>
      <c r="U352" s="18" t="str">
        <f aca="false">IF(A352="","",IF(N(G352)-N(L352)-N(N352)&lt;0,"Check shares",IF(AND(P352&lt;&gt;"",Q352&lt;&gt;""),"Closed","Open")))</f>
        <v/>
      </c>
      <c r="V352" s="19" t="str">
        <f aca="false">IF(OR(F352="",P352=""),"",NETWORKDAYS(F352,P352,Lists!$F$5:$F$40)-1)</f>
        <v/>
      </c>
      <c r="W352" s="18" t="str">
        <f aca="false">IF(V352="","",IF(V352=0,"Same day","Overnight"))</f>
        <v/>
      </c>
      <c r="X352" s="18" t="str">
        <f aca="false">IF(OR(E352="",F352=""),"",IF(AND(E352&gt;=F352,OR(P352="",E352&lt;=P352)),"Yes","No"))</f>
        <v/>
      </c>
      <c r="Y352" s="20" t="str">
        <f aca="false">IF(A352="","",N(G352)-N(L352)-N(N352))</f>
        <v/>
      </c>
      <c r="Z352" s="21" t="str">
        <f aca="false">IF(OR(G352="",H352="",I352=""),"",ABS(H352-I352)*G352)</f>
        <v/>
      </c>
      <c r="AA352" s="22" t="str">
        <f aca="false">IF(OR(J352="",N(Z352)=0),"",ABS(J352-H352)/ABS(H352-I352))</f>
        <v/>
      </c>
      <c r="AB352" s="23" t="str">
        <f aca="false">IF(U352&lt;&gt;"Closed","",(N(L352)*N(M352)+N(N352)*N(O352)+Y352*Q352)/G352)</f>
        <v/>
      </c>
      <c r="AC352" s="24" t="str">
        <f aca="false">IF(U352&lt;&gt;"Closed","",IF($B352="Short",-1,1)*((N(M352)-H352)*N(L352)+(N(O352)-H352)*N(N352)+(Q352-H352)*Y352)-N(R352))</f>
        <v/>
      </c>
      <c r="AD352" s="25" t="str">
        <f aca="false">IF(OR(AC352="",N(Z352)=0),"",AC352/Z352)</f>
        <v/>
      </c>
      <c r="AE352" s="25" t="str">
        <f aca="false">IF(OR(S352="",N(Z352)=0),"",IF($B352="Short",-1,1)*(S352-H352)*G352/Z352)</f>
        <v/>
      </c>
      <c r="AF352" s="25" t="str">
        <f aca="false">IF(OR(T352="",N(Z352)=0),"",IF($B352="Short",-1,1)*(T352-H352)*G352/Z352)</f>
        <v/>
      </c>
      <c r="AG352" s="21" t="str">
        <f aca="false">IF(U352&lt;&gt;"Open","",Y352*MAX(0,IF($B352="Short",-1,1)*(H352-IF(K352="",I352,K352))))</f>
        <v/>
      </c>
      <c r="AH352" s="26" t="str">
        <f aca="false">IF(U352&lt;&gt;"Closed","",DATE(YEAR(P352),MONTH(P352),1))</f>
        <v/>
      </c>
      <c r="AI352" s="19" t="str">
        <f aca="false">IF(U352&lt;&gt;"Closed","",COUNTIFS($U$7:$U$506,"Closed",$P$7:$P$506,"&lt;"&amp;P352)+COUNTIFS($U$7:U352,"Closed",$P$7:P352,P352))</f>
        <v/>
      </c>
    </row>
    <row r="353" customFormat="false" ht="15" hidden="false" customHeight="false" outlineLevel="0" collapsed="false">
      <c r="A353" s="13"/>
      <c r="B353" s="14"/>
      <c r="C353" s="14"/>
      <c r="D353" s="14"/>
      <c r="E353" s="15"/>
      <c r="F353" s="15"/>
      <c r="G353" s="16"/>
      <c r="H353" s="17"/>
      <c r="I353" s="17"/>
      <c r="J353" s="17"/>
      <c r="K353" s="17"/>
      <c r="L353" s="16"/>
      <c r="M353" s="17"/>
      <c r="N353" s="16"/>
      <c r="O353" s="17"/>
      <c r="P353" s="15"/>
      <c r="Q353" s="17"/>
      <c r="R353" s="17"/>
      <c r="S353" s="17"/>
      <c r="T353" s="17"/>
      <c r="U353" s="18" t="str">
        <f aca="false">IF(A353="","",IF(N(G353)-N(L353)-N(N353)&lt;0,"Check shares",IF(AND(P353&lt;&gt;"",Q353&lt;&gt;""),"Closed","Open")))</f>
        <v/>
      </c>
      <c r="V353" s="19" t="str">
        <f aca="false">IF(OR(F353="",P353=""),"",NETWORKDAYS(F353,P353,Lists!$F$5:$F$40)-1)</f>
        <v/>
      </c>
      <c r="W353" s="18" t="str">
        <f aca="false">IF(V353="","",IF(V353=0,"Same day","Overnight"))</f>
        <v/>
      </c>
      <c r="X353" s="18" t="str">
        <f aca="false">IF(OR(E353="",F353=""),"",IF(AND(E353&gt;=F353,OR(P353="",E353&lt;=P353)),"Yes","No"))</f>
        <v/>
      </c>
      <c r="Y353" s="20" t="str">
        <f aca="false">IF(A353="","",N(G353)-N(L353)-N(N353))</f>
        <v/>
      </c>
      <c r="Z353" s="21" t="str">
        <f aca="false">IF(OR(G353="",H353="",I353=""),"",ABS(H353-I353)*G353)</f>
        <v/>
      </c>
      <c r="AA353" s="22" t="str">
        <f aca="false">IF(OR(J353="",N(Z353)=0),"",ABS(J353-H353)/ABS(H353-I353))</f>
        <v/>
      </c>
      <c r="AB353" s="23" t="str">
        <f aca="false">IF(U353&lt;&gt;"Closed","",(N(L353)*N(M353)+N(N353)*N(O353)+Y353*Q353)/G353)</f>
        <v/>
      </c>
      <c r="AC353" s="24" t="str">
        <f aca="false">IF(U353&lt;&gt;"Closed","",IF($B353="Short",-1,1)*((N(M353)-H353)*N(L353)+(N(O353)-H353)*N(N353)+(Q353-H353)*Y353)-N(R353))</f>
        <v/>
      </c>
      <c r="AD353" s="25" t="str">
        <f aca="false">IF(OR(AC353="",N(Z353)=0),"",AC353/Z353)</f>
        <v/>
      </c>
      <c r="AE353" s="25" t="str">
        <f aca="false">IF(OR(S353="",N(Z353)=0),"",IF($B353="Short",-1,1)*(S353-H353)*G353/Z353)</f>
        <v/>
      </c>
      <c r="AF353" s="25" t="str">
        <f aca="false">IF(OR(T353="",N(Z353)=0),"",IF($B353="Short",-1,1)*(T353-H353)*G353/Z353)</f>
        <v/>
      </c>
      <c r="AG353" s="21" t="str">
        <f aca="false">IF(U353&lt;&gt;"Open","",Y353*MAX(0,IF($B353="Short",-1,1)*(H353-IF(K353="",I353,K353))))</f>
        <v/>
      </c>
      <c r="AH353" s="26" t="str">
        <f aca="false">IF(U353&lt;&gt;"Closed","",DATE(YEAR(P353),MONTH(P353),1))</f>
        <v/>
      </c>
      <c r="AI353" s="19" t="str">
        <f aca="false">IF(U353&lt;&gt;"Closed","",COUNTIFS($U$7:$U$506,"Closed",$P$7:$P$506,"&lt;"&amp;P353)+COUNTIFS($U$7:U353,"Closed",$P$7:P353,P353))</f>
        <v/>
      </c>
    </row>
    <row r="354" customFormat="false" ht="15" hidden="false" customHeight="false" outlineLevel="0" collapsed="false">
      <c r="A354" s="13"/>
      <c r="B354" s="14"/>
      <c r="C354" s="14"/>
      <c r="D354" s="14"/>
      <c r="E354" s="15"/>
      <c r="F354" s="15"/>
      <c r="G354" s="16"/>
      <c r="H354" s="17"/>
      <c r="I354" s="17"/>
      <c r="J354" s="17"/>
      <c r="K354" s="17"/>
      <c r="L354" s="16"/>
      <c r="M354" s="17"/>
      <c r="N354" s="16"/>
      <c r="O354" s="17"/>
      <c r="P354" s="15"/>
      <c r="Q354" s="17"/>
      <c r="R354" s="17"/>
      <c r="S354" s="17"/>
      <c r="T354" s="17"/>
      <c r="U354" s="18" t="str">
        <f aca="false">IF(A354="","",IF(N(G354)-N(L354)-N(N354)&lt;0,"Check shares",IF(AND(P354&lt;&gt;"",Q354&lt;&gt;""),"Closed","Open")))</f>
        <v/>
      </c>
      <c r="V354" s="19" t="str">
        <f aca="false">IF(OR(F354="",P354=""),"",NETWORKDAYS(F354,P354,Lists!$F$5:$F$40)-1)</f>
        <v/>
      </c>
      <c r="W354" s="18" t="str">
        <f aca="false">IF(V354="","",IF(V354=0,"Same day","Overnight"))</f>
        <v/>
      </c>
      <c r="X354" s="18" t="str">
        <f aca="false">IF(OR(E354="",F354=""),"",IF(AND(E354&gt;=F354,OR(P354="",E354&lt;=P354)),"Yes","No"))</f>
        <v/>
      </c>
      <c r="Y354" s="20" t="str">
        <f aca="false">IF(A354="","",N(G354)-N(L354)-N(N354))</f>
        <v/>
      </c>
      <c r="Z354" s="21" t="str">
        <f aca="false">IF(OR(G354="",H354="",I354=""),"",ABS(H354-I354)*G354)</f>
        <v/>
      </c>
      <c r="AA354" s="22" t="str">
        <f aca="false">IF(OR(J354="",N(Z354)=0),"",ABS(J354-H354)/ABS(H354-I354))</f>
        <v/>
      </c>
      <c r="AB354" s="23" t="str">
        <f aca="false">IF(U354&lt;&gt;"Closed","",(N(L354)*N(M354)+N(N354)*N(O354)+Y354*Q354)/G354)</f>
        <v/>
      </c>
      <c r="AC354" s="24" t="str">
        <f aca="false">IF(U354&lt;&gt;"Closed","",IF($B354="Short",-1,1)*((N(M354)-H354)*N(L354)+(N(O354)-H354)*N(N354)+(Q354-H354)*Y354)-N(R354))</f>
        <v/>
      </c>
      <c r="AD354" s="25" t="str">
        <f aca="false">IF(OR(AC354="",N(Z354)=0),"",AC354/Z354)</f>
        <v/>
      </c>
      <c r="AE354" s="25" t="str">
        <f aca="false">IF(OR(S354="",N(Z354)=0),"",IF($B354="Short",-1,1)*(S354-H354)*G354/Z354)</f>
        <v/>
      </c>
      <c r="AF354" s="25" t="str">
        <f aca="false">IF(OR(T354="",N(Z354)=0),"",IF($B354="Short",-1,1)*(T354-H354)*G354/Z354)</f>
        <v/>
      </c>
      <c r="AG354" s="21" t="str">
        <f aca="false">IF(U354&lt;&gt;"Open","",Y354*MAX(0,IF($B354="Short",-1,1)*(H354-IF(K354="",I354,K354))))</f>
        <v/>
      </c>
      <c r="AH354" s="26" t="str">
        <f aca="false">IF(U354&lt;&gt;"Closed","",DATE(YEAR(P354),MONTH(P354),1))</f>
        <v/>
      </c>
      <c r="AI354" s="19" t="str">
        <f aca="false">IF(U354&lt;&gt;"Closed","",COUNTIFS($U$7:$U$506,"Closed",$P$7:$P$506,"&lt;"&amp;P354)+COUNTIFS($U$7:U354,"Closed",$P$7:P354,P354))</f>
        <v/>
      </c>
    </row>
    <row r="355" customFormat="false" ht="15" hidden="false" customHeight="false" outlineLevel="0" collapsed="false">
      <c r="A355" s="13"/>
      <c r="B355" s="14"/>
      <c r="C355" s="14"/>
      <c r="D355" s="14"/>
      <c r="E355" s="15"/>
      <c r="F355" s="15"/>
      <c r="G355" s="16"/>
      <c r="H355" s="17"/>
      <c r="I355" s="17"/>
      <c r="J355" s="17"/>
      <c r="K355" s="17"/>
      <c r="L355" s="16"/>
      <c r="M355" s="17"/>
      <c r="N355" s="16"/>
      <c r="O355" s="17"/>
      <c r="P355" s="15"/>
      <c r="Q355" s="17"/>
      <c r="R355" s="17"/>
      <c r="S355" s="17"/>
      <c r="T355" s="17"/>
      <c r="U355" s="18" t="str">
        <f aca="false">IF(A355="","",IF(N(G355)-N(L355)-N(N355)&lt;0,"Check shares",IF(AND(P355&lt;&gt;"",Q355&lt;&gt;""),"Closed","Open")))</f>
        <v/>
      </c>
      <c r="V355" s="19" t="str">
        <f aca="false">IF(OR(F355="",P355=""),"",NETWORKDAYS(F355,P355,Lists!$F$5:$F$40)-1)</f>
        <v/>
      </c>
      <c r="W355" s="18" t="str">
        <f aca="false">IF(V355="","",IF(V355=0,"Same day","Overnight"))</f>
        <v/>
      </c>
      <c r="X355" s="18" t="str">
        <f aca="false">IF(OR(E355="",F355=""),"",IF(AND(E355&gt;=F355,OR(P355="",E355&lt;=P355)),"Yes","No"))</f>
        <v/>
      </c>
      <c r="Y355" s="20" t="str">
        <f aca="false">IF(A355="","",N(G355)-N(L355)-N(N355))</f>
        <v/>
      </c>
      <c r="Z355" s="21" t="str">
        <f aca="false">IF(OR(G355="",H355="",I355=""),"",ABS(H355-I355)*G355)</f>
        <v/>
      </c>
      <c r="AA355" s="22" t="str">
        <f aca="false">IF(OR(J355="",N(Z355)=0),"",ABS(J355-H355)/ABS(H355-I355))</f>
        <v/>
      </c>
      <c r="AB355" s="23" t="str">
        <f aca="false">IF(U355&lt;&gt;"Closed","",(N(L355)*N(M355)+N(N355)*N(O355)+Y355*Q355)/G355)</f>
        <v/>
      </c>
      <c r="AC355" s="24" t="str">
        <f aca="false">IF(U355&lt;&gt;"Closed","",IF($B355="Short",-1,1)*((N(M355)-H355)*N(L355)+(N(O355)-H355)*N(N355)+(Q355-H355)*Y355)-N(R355))</f>
        <v/>
      </c>
      <c r="AD355" s="25" t="str">
        <f aca="false">IF(OR(AC355="",N(Z355)=0),"",AC355/Z355)</f>
        <v/>
      </c>
      <c r="AE355" s="25" t="str">
        <f aca="false">IF(OR(S355="",N(Z355)=0),"",IF($B355="Short",-1,1)*(S355-H355)*G355/Z355)</f>
        <v/>
      </c>
      <c r="AF355" s="25" t="str">
        <f aca="false">IF(OR(T355="",N(Z355)=0),"",IF($B355="Short",-1,1)*(T355-H355)*G355/Z355)</f>
        <v/>
      </c>
      <c r="AG355" s="21" t="str">
        <f aca="false">IF(U355&lt;&gt;"Open","",Y355*MAX(0,IF($B355="Short",-1,1)*(H355-IF(K355="",I355,K355))))</f>
        <v/>
      </c>
      <c r="AH355" s="26" t="str">
        <f aca="false">IF(U355&lt;&gt;"Closed","",DATE(YEAR(P355),MONTH(P355),1))</f>
        <v/>
      </c>
      <c r="AI355" s="19" t="str">
        <f aca="false">IF(U355&lt;&gt;"Closed","",COUNTIFS($U$7:$U$506,"Closed",$P$7:$P$506,"&lt;"&amp;P355)+COUNTIFS($U$7:U355,"Closed",$P$7:P355,P355))</f>
        <v/>
      </c>
    </row>
    <row r="356" customFormat="false" ht="15" hidden="false" customHeight="false" outlineLevel="0" collapsed="false">
      <c r="A356" s="13"/>
      <c r="B356" s="14"/>
      <c r="C356" s="14"/>
      <c r="D356" s="14"/>
      <c r="E356" s="15"/>
      <c r="F356" s="15"/>
      <c r="G356" s="16"/>
      <c r="H356" s="17"/>
      <c r="I356" s="17"/>
      <c r="J356" s="17"/>
      <c r="K356" s="17"/>
      <c r="L356" s="16"/>
      <c r="M356" s="17"/>
      <c r="N356" s="16"/>
      <c r="O356" s="17"/>
      <c r="P356" s="15"/>
      <c r="Q356" s="17"/>
      <c r="R356" s="17"/>
      <c r="S356" s="17"/>
      <c r="T356" s="17"/>
      <c r="U356" s="18" t="str">
        <f aca="false">IF(A356="","",IF(N(G356)-N(L356)-N(N356)&lt;0,"Check shares",IF(AND(P356&lt;&gt;"",Q356&lt;&gt;""),"Closed","Open")))</f>
        <v/>
      </c>
      <c r="V356" s="19" t="str">
        <f aca="false">IF(OR(F356="",P356=""),"",NETWORKDAYS(F356,P356,Lists!$F$5:$F$40)-1)</f>
        <v/>
      </c>
      <c r="W356" s="18" t="str">
        <f aca="false">IF(V356="","",IF(V356=0,"Same day","Overnight"))</f>
        <v/>
      </c>
      <c r="X356" s="18" t="str">
        <f aca="false">IF(OR(E356="",F356=""),"",IF(AND(E356&gt;=F356,OR(P356="",E356&lt;=P356)),"Yes","No"))</f>
        <v/>
      </c>
      <c r="Y356" s="20" t="str">
        <f aca="false">IF(A356="","",N(G356)-N(L356)-N(N356))</f>
        <v/>
      </c>
      <c r="Z356" s="21" t="str">
        <f aca="false">IF(OR(G356="",H356="",I356=""),"",ABS(H356-I356)*G356)</f>
        <v/>
      </c>
      <c r="AA356" s="22" t="str">
        <f aca="false">IF(OR(J356="",N(Z356)=0),"",ABS(J356-H356)/ABS(H356-I356))</f>
        <v/>
      </c>
      <c r="AB356" s="23" t="str">
        <f aca="false">IF(U356&lt;&gt;"Closed","",(N(L356)*N(M356)+N(N356)*N(O356)+Y356*Q356)/G356)</f>
        <v/>
      </c>
      <c r="AC356" s="24" t="str">
        <f aca="false">IF(U356&lt;&gt;"Closed","",IF($B356="Short",-1,1)*((N(M356)-H356)*N(L356)+(N(O356)-H356)*N(N356)+(Q356-H356)*Y356)-N(R356))</f>
        <v/>
      </c>
      <c r="AD356" s="25" t="str">
        <f aca="false">IF(OR(AC356="",N(Z356)=0),"",AC356/Z356)</f>
        <v/>
      </c>
      <c r="AE356" s="25" t="str">
        <f aca="false">IF(OR(S356="",N(Z356)=0),"",IF($B356="Short",-1,1)*(S356-H356)*G356/Z356)</f>
        <v/>
      </c>
      <c r="AF356" s="25" t="str">
        <f aca="false">IF(OR(T356="",N(Z356)=0),"",IF($B356="Short",-1,1)*(T356-H356)*G356/Z356)</f>
        <v/>
      </c>
      <c r="AG356" s="21" t="str">
        <f aca="false">IF(U356&lt;&gt;"Open","",Y356*MAX(0,IF($B356="Short",-1,1)*(H356-IF(K356="",I356,K356))))</f>
        <v/>
      </c>
      <c r="AH356" s="26" t="str">
        <f aca="false">IF(U356&lt;&gt;"Closed","",DATE(YEAR(P356),MONTH(P356),1))</f>
        <v/>
      </c>
      <c r="AI356" s="19" t="str">
        <f aca="false">IF(U356&lt;&gt;"Closed","",COUNTIFS($U$7:$U$506,"Closed",$P$7:$P$506,"&lt;"&amp;P356)+COUNTIFS($U$7:U356,"Closed",$P$7:P356,P356))</f>
        <v/>
      </c>
    </row>
    <row r="357" customFormat="false" ht="15" hidden="false" customHeight="false" outlineLevel="0" collapsed="false">
      <c r="A357" s="13"/>
      <c r="B357" s="14"/>
      <c r="C357" s="14"/>
      <c r="D357" s="14"/>
      <c r="E357" s="15"/>
      <c r="F357" s="15"/>
      <c r="G357" s="16"/>
      <c r="H357" s="17"/>
      <c r="I357" s="17"/>
      <c r="J357" s="17"/>
      <c r="K357" s="17"/>
      <c r="L357" s="16"/>
      <c r="M357" s="17"/>
      <c r="N357" s="16"/>
      <c r="O357" s="17"/>
      <c r="P357" s="15"/>
      <c r="Q357" s="17"/>
      <c r="R357" s="17"/>
      <c r="S357" s="17"/>
      <c r="T357" s="17"/>
      <c r="U357" s="18" t="str">
        <f aca="false">IF(A357="","",IF(N(G357)-N(L357)-N(N357)&lt;0,"Check shares",IF(AND(P357&lt;&gt;"",Q357&lt;&gt;""),"Closed","Open")))</f>
        <v/>
      </c>
      <c r="V357" s="19" t="str">
        <f aca="false">IF(OR(F357="",P357=""),"",NETWORKDAYS(F357,P357,Lists!$F$5:$F$40)-1)</f>
        <v/>
      </c>
      <c r="W357" s="18" t="str">
        <f aca="false">IF(V357="","",IF(V357=0,"Same day","Overnight"))</f>
        <v/>
      </c>
      <c r="X357" s="18" t="str">
        <f aca="false">IF(OR(E357="",F357=""),"",IF(AND(E357&gt;=F357,OR(P357="",E357&lt;=P357)),"Yes","No"))</f>
        <v/>
      </c>
      <c r="Y357" s="20" t="str">
        <f aca="false">IF(A357="","",N(G357)-N(L357)-N(N357))</f>
        <v/>
      </c>
      <c r="Z357" s="21" t="str">
        <f aca="false">IF(OR(G357="",H357="",I357=""),"",ABS(H357-I357)*G357)</f>
        <v/>
      </c>
      <c r="AA357" s="22" t="str">
        <f aca="false">IF(OR(J357="",N(Z357)=0),"",ABS(J357-H357)/ABS(H357-I357))</f>
        <v/>
      </c>
      <c r="AB357" s="23" t="str">
        <f aca="false">IF(U357&lt;&gt;"Closed","",(N(L357)*N(M357)+N(N357)*N(O357)+Y357*Q357)/G357)</f>
        <v/>
      </c>
      <c r="AC357" s="24" t="str">
        <f aca="false">IF(U357&lt;&gt;"Closed","",IF($B357="Short",-1,1)*((N(M357)-H357)*N(L357)+(N(O357)-H357)*N(N357)+(Q357-H357)*Y357)-N(R357))</f>
        <v/>
      </c>
      <c r="AD357" s="25" t="str">
        <f aca="false">IF(OR(AC357="",N(Z357)=0),"",AC357/Z357)</f>
        <v/>
      </c>
      <c r="AE357" s="25" t="str">
        <f aca="false">IF(OR(S357="",N(Z357)=0),"",IF($B357="Short",-1,1)*(S357-H357)*G357/Z357)</f>
        <v/>
      </c>
      <c r="AF357" s="25" t="str">
        <f aca="false">IF(OR(T357="",N(Z357)=0),"",IF($B357="Short",-1,1)*(T357-H357)*G357/Z357)</f>
        <v/>
      </c>
      <c r="AG357" s="21" t="str">
        <f aca="false">IF(U357&lt;&gt;"Open","",Y357*MAX(0,IF($B357="Short",-1,1)*(H357-IF(K357="",I357,K357))))</f>
        <v/>
      </c>
      <c r="AH357" s="26" t="str">
        <f aca="false">IF(U357&lt;&gt;"Closed","",DATE(YEAR(P357),MONTH(P357),1))</f>
        <v/>
      </c>
      <c r="AI357" s="19" t="str">
        <f aca="false">IF(U357&lt;&gt;"Closed","",COUNTIFS($U$7:$U$506,"Closed",$P$7:$P$506,"&lt;"&amp;P357)+COUNTIFS($U$7:U357,"Closed",$P$7:P357,P357))</f>
        <v/>
      </c>
    </row>
    <row r="358" customFormat="false" ht="15" hidden="false" customHeight="false" outlineLevel="0" collapsed="false">
      <c r="A358" s="13"/>
      <c r="B358" s="14"/>
      <c r="C358" s="14"/>
      <c r="D358" s="14"/>
      <c r="E358" s="15"/>
      <c r="F358" s="15"/>
      <c r="G358" s="16"/>
      <c r="H358" s="17"/>
      <c r="I358" s="17"/>
      <c r="J358" s="17"/>
      <c r="K358" s="17"/>
      <c r="L358" s="16"/>
      <c r="M358" s="17"/>
      <c r="N358" s="16"/>
      <c r="O358" s="17"/>
      <c r="P358" s="15"/>
      <c r="Q358" s="17"/>
      <c r="R358" s="17"/>
      <c r="S358" s="17"/>
      <c r="T358" s="17"/>
      <c r="U358" s="18" t="str">
        <f aca="false">IF(A358="","",IF(N(G358)-N(L358)-N(N358)&lt;0,"Check shares",IF(AND(P358&lt;&gt;"",Q358&lt;&gt;""),"Closed","Open")))</f>
        <v/>
      </c>
      <c r="V358" s="19" t="str">
        <f aca="false">IF(OR(F358="",P358=""),"",NETWORKDAYS(F358,P358,Lists!$F$5:$F$40)-1)</f>
        <v/>
      </c>
      <c r="W358" s="18" t="str">
        <f aca="false">IF(V358="","",IF(V358=0,"Same day","Overnight"))</f>
        <v/>
      </c>
      <c r="X358" s="18" t="str">
        <f aca="false">IF(OR(E358="",F358=""),"",IF(AND(E358&gt;=F358,OR(P358="",E358&lt;=P358)),"Yes","No"))</f>
        <v/>
      </c>
      <c r="Y358" s="20" t="str">
        <f aca="false">IF(A358="","",N(G358)-N(L358)-N(N358))</f>
        <v/>
      </c>
      <c r="Z358" s="21" t="str">
        <f aca="false">IF(OR(G358="",H358="",I358=""),"",ABS(H358-I358)*G358)</f>
        <v/>
      </c>
      <c r="AA358" s="22" t="str">
        <f aca="false">IF(OR(J358="",N(Z358)=0),"",ABS(J358-H358)/ABS(H358-I358))</f>
        <v/>
      </c>
      <c r="AB358" s="23" t="str">
        <f aca="false">IF(U358&lt;&gt;"Closed","",(N(L358)*N(M358)+N(N358)*N(O358)+Y358*Q358)/G358)</f>
        <v/>
      </c>
      <c r="AC358" s="24" t="str">
        <f aca="false">IF(U358&lt;&gt;"Closed","",IF($B358="Short",-1,1)*((N(M358)-H358)*N(L358)+(N(O358)-H358)*N(N358)+(Q358-H358)*Y358)-N(R358))</f>
        <v/>
      </c>
      <c r="AD358" s="25" t="str">
        <f aca="false">IF(OR(AC358="",N(Z358)=0),"",AC358/Z358)</f>
        <v/>
      </c>
      <c r="AE358" s="25" t="str">
        <f aca="false">IF(OR(S358="",N(Z358)=0),"",IF($B358="Short",-1,1)*(S358-H358)*G358/Z358)</f>
        <v/>
      </c>
      <c r="AF358" s="25" t="str">
        <f aca="false">IF(OR(T358="",N(Z358)=0),"",IF($B358="Short",-1,1)*(T358-H358)*G358/Z358)</f>
        <v/>
      </c>
      <c r="AG358" s="21" t="str">
        <f aca="false">IF(U358&lt;&gt;"Open","",Y358*MAX(0,IF($B358="Short",-1,1)*(H358-IF(K358="",I358,K358))))</f>
        <v/>
      </c>
      <c r="AH358" s="26" t="str">
        <f aca="false">IF(U358&lt;&gt;"Closed","",DATE(YEAR(P358),MONTH(P358),1))</f>
        <v/>
      </c>
      <c r="AI358" s="19" t="str">
        <f aca="false">IF(U358&lt;&gt;"Closed","",COUNTIFS($U$7:$U$506,"Closed",$P$7:$P$506,"&lt;"&amp;P358)+COUNTIFS($U$7:U358,"Closed",$P$7:P358,P358))</f>
        <v/>
      </c>
    </row>
    <row r="359" customFormat="false" ht="15" hidden="false" customHeight="false" outlineLevel="0" collapsed="false">
      <c r="A359" s="13"/>
      <c r="B359" s="14"/>
      <c r="C359" s="14"/>
      <c r="D359" s="14"/>
      <c r="E359" s="15"/>
      <c r="F359" s="15"/>
      <c r="G359" s="16"/>
      <c r="H359" s="17"/>
      <c r="I359" s="17"/>
      <c r="J359" s="17"/>
      <c r="K359" s="17"/>
      <c r="L359" s="16"/>
      <c r="M359" s="17"/>
      <c r="N359" s="16"/>
      <c r="O359" s="17"/>
      <c r="P359" s="15"/>
      <c r="Q359" s="17"/>
      <c r="R359" s="17"/>
      <c r="S359" s="17"/>
      <c r="T359" s="17"/>
      <c r="U359" s="18" t="str">
        <f aca="false">IF(A359="","",IF(N(G359)-N(L359)-N(N359)&lt;0,"Check shares",IF(AND(P359&lt;&gt;"",Q359&lt;&gt;""),"Closed","Open")))</f>
        <v/>
      </c>
      <c r="V359" s="19" t="str">
        <f aca="false">IF(OR(F359="",P359=""),"",NETWORKDAYS(F359,P359,Lists!$F$5:$F$40)-1)</f>
        <v/>
      </c>
      <c r="W359" s="18" t="str">
        <f aca="false">IF(V359="","",IF(V359=0,"Same day","Overnight"))</f>
        <v/>
      </c>
      <c r="X359" s="18" t="str">
        <f aca="false">IF(OR(E359="",F359=""),"",IF(AND(E359&gt;=F359,OR(P359="",E359&lt;=P359)),"Yes","No"))</f>
        <v/>
      </c>
      <c r="Y359" s="20" t="str">
        <f aca="false">IF(A359="","",N(G359)-N(L359)-N(N359))</f>
        <v/>
      </c>
      <c r="Z359" s="21" t="str">
        <f aca="false">IF(OR(G359="",H359="",I359=""),"",ABS(H359-I359)*G359)</f>
        <v/>
      </c>
      <c r="AA359" s="22" t="str">
        <f aca="false">IF(OR(J359="",N(Z359)=0),"",ABS(J359-H359)/ABS(H359-I359))</f>
        <v/>
      </c>
      <c r="AB359" s="23" t="str">
        <f aca="false">IF(U359&lt;&gt;"Closed","",(N(L359)*N(M359)+N(N359)*N(O359)+Y359*Q359)/G359)</f>
        <v/>
      </c>
      <c r="AC359" s="24" t="str">
        <f aca="false">IF(U359&lt;&gt;"Closed","",IF($B359="Short",-1,1)*((N(M359)-H359)*N(L359)+(N(O359)-H359)*N(N359)+(Q359-H359)*Y359)-N(R359))</f>
        <v/>
      </c>
      <c r="AD359" s="25" t="str">
        <f aca="false">IF(OR(AC359="",N(Z359)=0),"",AC359/Z359)</f>
        <v/>
      </c>
      <c r="AE359" s="25" t="str">
        <f aca="false">IF(OR(S359="",N(Z359)=0),"",IF($B359="Short",-1,1)*(S359-H359)*G359/Z359)</f>
        <v/>
      </c>
      <c r="AF359" s="25" t="str">
        <f aca="false">IF(OR(T359="",N(Z359)=0),"",IF($B359="Short",-1,1)*(T359-H359)*G359/Z359)</f>
        <v/>
      </c>
      <c r="AG359" s="21" t="str">
        <f aca="false">IF(U359&lt;&gt;"Open","",Y359*MAX(0,IF($B359="Short",-1,1)*(H359-IF(K359="",I359,K359))))</f>
        <v/>
      </c>
      <c r="AH359" s="26" t="str">
        <f aca="false">IF(U359&lt;&gt;"Closed","",DATE(YEAR(P359),MONTH(P359),1))</f>
        <v/>
      </c>
      <c r="AI359" s="19" t="str">
        <f aca="false">IF(U359&lt;&gt;"Closed","",COUNTIFS($U$7:$U$506,"Closed",$P$7:$P$506,"&lt;"&amp;P359)+COUNTIFS($U$7:U359,"Closed",$P$7:P359,P359))</f>
        <v/>
      </c>
    </row>
    <row r="360" customFormat="false" ht="15" hidden="false" customHeight="false" outlineLevel="0" collapsed="false">
      <c r="A360" s="13"/>
      <c r="B360" s="14"/>
      <c r="C360" s="14"/>
      <c r="D360" s="14"/>
      <c r="E360" s="15"/>
      <c r="F360" s="15"/>
      <c r="G360" s="16"/>
      <c r="H360" s="17"/>
      <c r="I360" s="17"/>
      <c r="J360" s="17"/>
      <c r="K360" s="17"/>
      <c r="L360" s="16"/>
      <c r="M360" s="17"/>
      <c r="N360" s="16"/>
      <c r="O360" s="17"/>
      <c r="P360" s="15"/>
      <c r="Q360" s="17"/>
      <c r="R360" s="17"/>
      <c r="S360" s="17"/>
      <c r="T360" s="17"/>
      <c r="U360" s="18" t="str">
        <f aca="false">IF(A360="","",IF(N(G360)-N(L360)-N(N360)&lt;0,"Check shares",IF(AND(P360&lt;&gt;"",Q360&lt;&gt;""),"Closed","Open")))</f>
        <v/>
      </c>
      <c r="V360" s="19" t="str">
        <f aca="false">IF(OR(F360="",P360=""),"",NETWORKDAYS(F360,P360,Lists!$F$5:$F$40)-1)</f>
        <v/>
      </c>
      <c r="W360" s="18" t="str">
        <f aca="false">IF(V360="","",IF(V360=0,"Same day","Overnight"))</f>
        <v/>
      </c>
      <c r="X360" s="18" t="str">
        <f aca="false">IF(OR(E360="",F360=""),"",IF(AND(E360&gt;=F360,OR(P360="",E360&lt;=P360)),"Yes","No"))</f>
        <v/>
      </c>
      <c r="Y360" s="20" t="str">
        <f aca="false">IF(A360="","",N(G360)-N(L360)-N(N360))</f>
        <v/>
      </c>
      <c r="Z360" s="21" t="str">
        <f aca="false">IF(OR(G360="",H360="",I360=""),"",ABS(H360-I360)*G360)</f>
        <v/>
      </c>
      <c r="AA360" s="22" t="str">
        <f aca="false">IF(OR(J360="",N(Z360)=0),"",ABS(J360-H360)/ABS(H360-I360))</f>
        <v/>
      </c>
      <c r="AB360" s="23" t="str">
        <f aca="false">IF(U360&lt;&gt;"Closed","",(N(L360)*N(M360)+N(N360)*N(O360)+Y360*Q360)/G360)</f>
        <v/>
      </c>
      <c r="AC360" s="24" t="str">
        <f aca="false">IF(U360&lt;&gt;"Closed","",IF($B360="Short",-1,1)*((N(M360)-H360)*N(L360)+(N(O360)-H360)*N(N360)+(Q360-H360)*Y360)-N(R360))</f>
        <v/>
      </c>
      <c r="AD360" s="25" t="str">
        <f aca="false">IF(OR(AC360="",N(Z360)=0),"",AC360/Z360)</f>
        <v/>
      </c>
      <c r="AE360" s="25" t="str">
        <f aca="false">IF(OR(S360="",N(Z360)=0),"",IF($B360="Short",-1,1)*(S360-H360)*G360/Z360)</f>
        <v/>
      </c>
      <c r="AF360" s="25" t="str">
        <f aca="false">IF(OR(T360="",N(Z360)=0),"",IF($B360="Short",-1,1)*(T360-H360)*G360/Z360)</f>
        <v/>
      </c>
      <c r="AG360" s="21" t="str">
        <f aca="false">IF(U360&lt;&gt;"Open","",Y360*MAX(0,IF($B360="Short",-1,1)*(H360-IF(K360="",I360,K360))))</f>
        <v/>
      </c>
      <c r="AH360" s="26" t="str">
        <f aca="false">IF(U360&lt;&gt;"Closed","",DATE(YEAR(P360),MONTH(P360),1))</f>
        <v/>
      </c>
      <c r="AI360" s="19" t="str">
        <f aca="false">IF(U360&lt;&gt;"Closed","",COUNTIFS($U$7:$U$506,"Closed",$P$7:$P$506,"&lt;"&amp;P360)+COUNTIFS($U$7:U360,"Closed",$P$7:P360,P360))</f>
        <v/>
      </c>
    </row>
    <row r="361" customFormat="false" ht="15" hidden="false" customHeight="false" outlineLevel="0" collapsed="false">
      <c r="A361" s="13"/>
      <c r="B361" s="14"/>
      <c r="C361" s="14"/>
      <c r="D361" s="14"/>
      <c r="E361" s="15"/>
      <c r="F361" s="15"/>
      <c r="G361" s="16"/>
      <c r="H361" s="17"/>
      <c r="I361" s="17"/>
      <c r="J361" s="17"/>
      <c r="K361" s="17"/>
      <c r="L361" s="16"/>
      <c r="M361" s="17"/>
      <c r="N361" s="16"/>
      <c r="O361" s="17"/>
      <c r="P361" s="15"/>
      <c r="Q361" s="17"/>
      <c r="R361" s="17"/>
      <c r="S361" s="17"/>
      <c r="T361" s="17"/>
      <c r="U361" s="18" t="str">
        <f aca="false">IF(A361="","",IF(N(G361)-N(L361)-N(N361)&lt;0,"Check shares",IF(AND(P361&lt;&gt;"",Q361&lt;&gt;""),"Closed","Open")))</f>
        <v/>
      </c>
      <c r="V361" s="19" t="str">
        <f aca="false">IF(OR(F361="",P361=""),"",NETWORKDAYS(F361,P361,Lists!$F$5:$F$40)-1)</f>
        <v/>
      </c>
      <c r="W361" s="18" t="str">
        <f aca="false">IF(V361="","",IF(V361=0,"Same day","Overnight"))</f>
        <v/>
      </c>
      <c r="X361" s="18" t="str">
        <f aca="false">IF(OR(E361="",F361=""),"",IF(AND(E361&gt;=F361,OR(P361="",E361&lt;=P361)),"Yes","No"))</f>
        <v/>
      </c>
      <c r="Y361" s="20" t="str">
        <f aca="false">IF(A361="","",N(G361)-N(L361)-N(N361))</f>
        <v/>
      </c>
      <c r="Z361" s="21" t="str">
        <f aca="false">IF(OR(G361="",H361="",I361=""),"",ABS(H361-I361)*G361)</f>
        <v/>
      </c>
      <c r="AA361" s="22" t="str">
        <f aca="false">IF(OR(J361="",N(Z361)=0),"",ABS(J361-H361)/ABS(H361-I361))</f>
        <v/>
      </c>
      <c r="AB361" s="23" t="str">
        <f aca="false">IF(U361&lt;&gt;"Closed","",(N(L361)*N(M361)+N(N361)*N(O361)+Y361*Q361)/G361)</f>
        <v/>
      </c>
      <c r="AC361" s="24" t="str">
        <f aca="false">IF(U361&lt;&gt;"Closed","",IF($B361="Short",-1,1)*((N(M361)-H361)*N(L361)+(N(O361)-H361)*N(N361)+(Q361-H361)*Y361)-N(R361))</f>
        <v/>
      </c>
      <c r="AD361" s="25" t="str">
        <f aca="false">IF(OR(AC361="",N(Z361)=0),"",AC361/Z361)</f>
        <v/>
      </c>
      <c r="AE361" s="25" t="str">
        <f aca="false">IF(OR(S361="",N(Z361)=0),"",IF($B361="Short",-1,1)*(S361-H361)*G361/Z361)</f>
        <v/>
      </c>
      <c r="AF361" s="25" t="str">
        <f aca="false">IF(OR(T361="",N(Z361)=0),"",IF($B361="Short",-1,1)*(T361-H361)*G361/Z361)</f>
        <v/>
      </c>
      <c r="AG361" s="21" t="str">
        <f aca="false">IF(U361&lt;&gt;"Open","",Y361*MAX(0,IF($B361="Short",-1,1)*(H361-IF(K361="",I361,K361))))</f>
        <v/>
      </c>
      <c r="AH361" s="26" t="str">
        <f aca="false">IF(U361&lt;&gt;"Closed","",DATE(YEAR(P361),MONTH(P361),1))</f>
        <v/>
      </c>
      <c r="AI361" s="19" t="str">
        <f aca="false">IF(U361&lt;&gt;"Closed","",COUNTIFS($U$7:$U$506,"Closed",$P$7:$P$506,"&lt;"&amp;P361)+COUNTIFS($U$7:U361,"Closed",$P$7:P361,P361))</f>
        <v/>
      </c>
    </row>
    <row r="362" customFormat="false" ht="15" hidden="false" customHeight="false" outlineLevel="0" collapsed="false">
      <c r="A362" s="13"/>
      <c r="B362" s="14"/>
      <c r="C362" s="14"/>
      <c r="D362" s="14"/>
      <c r="E362" s="15"/>
      <c r="F362" s="15"/>
      <c r="G362" s="16"/>
      <c r="H362" s="17"/>
      <c r="I362" s="17"/>
      <c r="J362" s="17"/>
      <c r="K362" s="17"/>
      <c r="L362" s="16"/>
      <c r="M362" s="17"/>
      <c r="N362" s="16"/>
      <c r="O362" s="17"/>
      <c r="P362" s="15"/>
      <c r="Q362" s="17"/>
      <c r="R362" s="17"/>
      <c r="S362" s="17"/>
      <c r="T362" s="17"/>
      <c r="U362" s="18" t="str">
        <f aca="false">IF(A362="","",IF(N(G362)-N(L362)-N(N362)&lt;0,"Check shares",IF(AND(P362&lt;&gt;"",Q362&lt;&gt;""),"Closed","Open")))</f>
        <v/>
      </c>
      <c r="V362" s="19" t="str">
        <f aca="false">IF(OR(F362="",P362=""),"",NETWORKDAYS(F362,P362,Lists!$F$5:$F$40)-1)</f>
        <v/>
      </c>
      <c r="W362" s="18" t="str">
        <f aca="false">IF(V362="","",IF(V362=0,"Same day","Overnight"))</f>
        <v/>
      </c>
      <c r="X362" s="18" t="str">
        <f aca="false">IF(OR(E362="",F362=""),"",IF(AND(E362&gt;=F362,OR(P362="",E362&lt;=P362)),"Yes","No"))</f>
        <v/>
      </c>
      <c r="Y362" s="20" t="str">
        <f aca="false">IF(A362="","",N(G362)-N(L362)-N(N362))</f>
        <v/>
      </c>
      <c r="Z362" s="21" t="str">
        <f aca="false">IF(OR(G362="",H362="",I362=""),"",ABS(H362-I362)*G362)</f>
        <v/>
      </c>
      <c r="AA362" s="22" t="str">
        <f aca="false">IF(OR(J362="",N(Z362)=0),"",ABS(J362-H362)/ABS(H362-I362))</f>
        <v/>
      </c>
      <c r="AB362" s="23" t="str">
        <f aca="false">IF(U362&lt;&gt;"Closed","",(N(L362)*N(M362)+N(N362)*N(O362)+Y362*Q362)/G362)</f>
        <v/>
      </c>
      <c r="AC362" s="24" t="str">
        <f aca="false">IF(U362&lt;&gt;"Closed","",IF($B362="Short",-1,1)*((N(M362)-H362)*N(L362)+(N(O362)-H362)*N(N362)+(Q362-H362)*Y362)-N(R362))</f>
        <v/>
      </c>
      <c r="AD362" s="25" t="str">
        <f aca="false">IF(OR(AC362="",N(Z362)=0),"",AC362/Z362)</f>
        <v/>
      </c>
      <c r="AE362" s="25" t="str">
        <f aca="false">IF(OR(S362="",N(Z362)=0),"",IF($B362="Short",-1,1)*(S362-H362)*G362/Z362)</f>
        <v/>
      </c>
      <c r="AF362" s="25" t="str">
        <f aca="false">IF(OR(T362="",N(Z362)=0),"",IF($B362="Short",-1,1)*(T362-H362)*G362/Z362)</f>
        <v/>
      </c>
      <c r="AG362" s="21" t="str">
        <f aca="false">IF(U362&lt;&gt;"Open","",Y362*MAX(0,IF($B362="Short",-1,1)*(H362-IF(K362="",I362,K362))))</f>
        <v/>
      </c>
      <c r="AH362" s="26" t="str">
        <f aca="false">IF(U362&lt;&gt;"Closed","",DATE(YEAR(P362),MONTH(P362),1))</f>
        <v/>
      </c>
      <c r="AI362" s="19" t="str">
        <f aca="false">IF(U362&lt;&gt;"Closed","",COUNTIFS($U$7:$U$506,"Closed",$P$7:$P$506,"&lt;"&amp;P362)+COUNTIFS($U$7:U362,"Closed",$P$7:P362,P362))</f>
        <v/>
      </c>
    </row>
    <row r="363" customFormat="false" ht="15" hidden="false" customHeight="false" outlineLevel="0" collapsed="false">
      <c r="A363" s="13"/>
      <c r="B363" s="14"/>
      <c r="C363" s="14"/>
      <c r="D363" s="14"/>
      <c r="E363" s="15"/>
      <c r="F363" s="15"/>
      <c r="G363" s="16"/>
      <c r="H363" s="17"/>
      <c r="I363" s="17"/>
      <c r="J363" s="17"/>
      <c r="K363" s="17"/>
      <c r="L363" s="16"/>
      <c r="M363" s="17"/>
      <c r="N363" s="16"/>
      <c r="O363" s="17"/>
      <c r="P363" s="15"/>
      <c r="Q363" s="17"/>
      <c r="R363" s="17"/>
      <c r="S363" s="17"/>
      <c r="T363" s="17"/>
      <c r="U363" s="18" t="str">
        <f aca="false">IF(A363="","",IF(N(G363)-N(L363)-N(N363)&lt;0,"Check shares",IF(AND(P363&lt;&gt;"",Q363&lt;&gt;""),"Closed","Open")))</f>
        <v/>
      </c>
      <c r="V363" s="19" t="str">
        <f aca="false">IF(OR(F363="",P363=""),"",NETWORKDAYS(F363,P363,Lists!$F$5:$F$40)-1)</f>
        <v/>
      </c>
      <c r="W363" s="18" t="str">
        <f aca="false">IF(V363="","",IF(V363=0,"Same day","Overnight"))</f>
        <v/>
      </c>
      <c r="X363" s="18" t="str">
        <f aca="false">IF(OR(E363="",F363=""),"",IF(AND(E363&gt;=F363,OR(P363="",E363&lt;=P363)),"Yes","No"))</f>
        <v/>
      </c>
      <c r="Y363" s="20" t="str">
        <f aca="false">IF(A363="","",N(G363)-N(L363)-N(N363))</f>
        <v/>
      </c>
      <c r="Z363" s="21" t="str">
        <f aca="false">IF(OR(G363="",H363="",I363=""),"",ABS(H363-I363)*G363)</f>
        <v/>
      </c>
      <c r="AA363" s="22" t="str">
        <f aca="false">IF(OR(J363="",N(Z363)=0),"",ABS(J363-H363)/ABS(H363-I363))</f>
        <v/>
      </c>
      <c r="AB363" s="23" t="str">
        <f aca="false">IF(U363&lt;&gt;"Closed","",(N(L363)*N(M363)+N(N363)*N(O363)+Y363*Q363)/G363)</f>
        <v/>
      </c>
      <c r="AC363" s="24" t="str">
        <f aca="false">IF(U363&lt;&gt;"Closed","",IF($B363="Short",-1,1)*((N(M363)-H363)*N(L363)+(N(O363)-H363)*N(N363)+(Q363-H363)*Y363)-N(R363))</f>
        <v/>
      </c>
      <c r="AD363" s="25" t="str">
        <f aca="false">IF(OR(AC363="",N(Z363)=0),"",AC363/Z363)</f>
        <v/>
      </c>
      <c r="AE363" s="25" t="str">
        <f aca="false">IF(OR(S363="",N(Z363)=0),"",IF($B363="Short",-1,1)*(S363-H363)*G363/Z363)</f>
        <v/>
      </c>
      <c r="AF363" s="25" t="str">
        <f aca="false">IF(OR(T363="",N(Z363)=0),"",IF($B363="Short",-1,1)*(T363-H363)*G363/Z363)</f>
        <v/>
      </c>
      <c r="AG363" s="21" t="str">
        <f aca="false">IF(U363&lt;&gt;"Open","",Y363*MAX(0,IF($B363="Short",-1,1)*(H363-IF(K363="",I363,K363))))</f>
        <v/>
      </c>
      <c r="AH363" s="26" t="str">
        <f aca="false">IF(U363&lt;&gt;"Closed","",DATE(YEAR(P363),MONTH(P363),1))</f>
        <v/>
      </c>
      <c r="AI363" s="19" t="str">
        <f aca="false">IF(U363&lt;&gt;"Closed","",COUNTIFS($U$7:$U$506,"Closed",$P$7:$P$506,"&lt;"&amp;P363)+COUNTIFS($U$7:U363,"Closed",$P$7:P363,P363))</f>
        <v/>
      </c>
    </row>
    <row r="364" customFormat="false" ht="15" hidden="false" customHeight="false" outlineLevel="0" collapsed="false">
      <c r="A364" s="13"/>
      <c r="B364" s="14"/>
      <c r="C364" s="14"/>
      <c r="D364" s="14"/>
      <c r="E364" s="15"/>
      <c r="F364" s="15"/>
      <c r="G364" s="16"/>
      <c r="H364" s="17"/>
      <c r="I364" s="17"/>
      <c r="J364" s="17"/>
      <c r="K364" s="17"/>
      <c r="L364" s="16"/>
      <c r="M364" s="17"/>
      <c r="N364" s="16"/>
      <c r="O364" s="17"/>
      <c r="P364" s="15"/>
      <c r="Q364" s="17"/>
      <c r="R364" s="17"/>
      <c r="S364" s="17"/>
      <c r="T364" s="17"/>
      <c r="U364" s="18" t="str">
        <f aca="false">IF(A364="","",IF(N(G364)-N(L364)-N(N364)&lt;0,"Check shares",IF(AND(P364&lt;&gt;"",Q364&lt;&gt;""),"Closed","Open")))</f>
        <v/>
      </c>
      <c r="V364" s="19" t="str">
        <f aca="false">IF(OR(F364="",P364=""),"",NETWORKDAYS(F364,P364,Lists!$F$5:$F$40)-1)</f>
        <v/>
      </c>
      <c r="W364" s="18" t="str">
        <f aca="false">IF(V364="","",IF(V364=0,"Same day","Overnight"))</f>
        <v/>
      </c>
      <c r="X364" s="18" t="str">
        <f aca="false">IF(OR(E364="",F364=""),"",IF(AND(E364&gt;=F364,OR(P364="",E364&lt;=P364)),"Yes","No"))</f>
        <v/>
      </c>
      <c r="Y364" s="20" t="str">
        <f aca="false">IF(A364="","",N(G364)-N(L364)-N(N364))</f>
        <v/>
      </c>
      <c r="Z364" s="21" t="str">
        <f aca="false">IF(OR(G364="",H364="",I364=""),"",ABS(H364-I364)*G364)</f>
        <v/>
      </c>
      <c r="AA364" s="22" t="str">
        <f aca="false">IF(OR(J364="",N(Z364)=0),"",ABS(J364-H364)/ABS(H364-I364))</f>
        <v/>
      </c>
      <c r="AB364" s="23" t="str">
        <f aca="false">IF(U364&lt;&gt;"Closed","",(N(L364)*N(M364)+N(N364)*N(O364)+Y364*Q364)/G364)</f>
        <v/>
      </c>
      <c r="AC364" s="24" t="str">
        <f aca="false">IF(U364&lt;&gt;"Closed","",IF($B364="Short",-1,1)*((N(M364)-H364)*N(L364)+(N(O364)-H364)*N(N364)+(Q364-H364)*Y364)-N(R364))</f>
        <v/>
      </c>
      <c r="AD364" s="25" t="str">
        <f aca="false">IF(OR(AC364="",N(Z364)=0),"",AC364/Z364)</f>
        <v/>
      </c>
      <c r="AE364" s="25" t="str">
        <f aca="false">IF(OR(S364="",N(Z364)=0),"",IF($B364="Short",-1,1)*(S364-H364)*G364/Z364)</f>
        <v/>
      </c>
      <c r="AF364" s="25" t="str">
        <f aca="false">IF(OR(T364="",N(Z364)=0),"",IF($B364="Short",-1,1)*(T364-H364)*G364/Z364)</f>
        <v/>
      </c>
      <c r="AG364" s="21" t="str">
        <f aca="false">IF(U364&lt;&gt;"Open","",Y364*MAX(0,IF($B364="Short",-1,1)*(H364-IF(K364="",I364,K364))))</f>
        <v/>
      </c>
      <c r="AH364" s="26" t="str">
        <f aca="false">IF(U364&lt;&gt;"Closed","",DATE(YEAR(P364),MONTH(P364),1))</f>
        <v/>
      </c>
      <c r="AI364" s="19" t="str">
        <f aca="false">IF(U364&lt;&gt;"Closed","",COUNTIFS($U$7:$U$506,"Closed",$P$7:$P$506,"&lt;"&amp;P364)+COUNTIFS($U$7:U364,"Closed",$P$7:P364,P364))</f>
        <v/>
      </c>
    </row>
    <row r="365" customFormat="false" ht="15" hidden="false" customHeight="false" outlineLevel="0" collapsed="false">
      <c r="A365" s="13"/>
      <c r="B365" s="14"/>
      <c r="C365" s="14"/>
      <c r="D365" s="14"/>
      <c r="E365" s="15"/>
      <c r="F365" s="15"/>
      <c r="G365" s="16"/>
      <c r="H365" s="17"/>
      <c r="I365" s="17"/>
      <c r="J365" s="17"/>
      <c r="K365" s="17"/>
      <c r="L365" s="16"/>
      <c r="M365" s="17"/>
      <c r="N365" s="16"/>
      <c r="O365" s="17"/>
      <c r="P365" s="15"/>
      <c r="Q365" s="17"/>
      <c r="R365" s="17"/>
      <c r="S365" s="17"/>
      <c r="T365" s="17"/>
      <c r="U365" s="18" t="str">
        <f aca="false">IF(A365="","",IF(N(G365)-N(L365)-N(N365)&lt;0,"Check shares",IF(AND(P365&lt;&gt;"",Q365&lt;&gt;""),"Closed","Open")))</f>
        <v/>
      </c>
      <c r="V365" s="19" t="str">
        <f aca="false">IF(OR(F365="",P365=""),"",NETWORKDAYS(F365,P365,Lists!$F$5:$F$40)-1)</f>
        <v/>
      </c>
      <c r="W365" s="18" t="str">
        <f aca="false">IF(V365="","",IF(V365=0,"Same day","Overnight"))</f>
        <v/>
      </c>
      <c r="X365" s="18" t="str">
        <f aca="false">IF(OR(E365="",F365=""),"",IF(AND(E365&gt;=F365,OR(P365="",E365&lt;=P365)),"Yes","No"))</f>
        <v/>
      </c>
      <c r="Y365" s="20" t="str">
        <f aca="false">IF(A365="","",N(G365)-N(L365)-N(N365))</f>
        <v/>
      </c>
      <c r="Z365" s="21" t="str">
        <f aca="false">IF(OR(G365="",H365="",I365=""),"",ABS(H365-I365)*G365)</f>
        <v/>
      </c>
      <c r="AA365" s="22" t="str">
        <f aca="false">IF(OR(J365="",N(Z365)=0),"",ABS(J365-H365)/ABS(H365-I365))</f>
        <v/>
      </c>
      <c r="AB365" s="23" t="str">
        <f aca="false">IF(U365&lt;&gt;"Closed","",(N(L365)*N(M365)+N(N365)*N(O365)+Y365*Q365)/G365)</f>
        <v/>
      </c>
      <c r="AC365" s="24" t="str">
        <f aca="false">IF(U365&lt;&gt;"Closed","",IF($B365="Short",-1,1)*((N(M365)-H365)*N(L365)+(N(O365)-H365)*N(N365)+(Q365-H365)*Y365)-N(R365))</f>
        <v/>
      </c>
      <c r="AD365" s="25" t="str">
        <f aca="false">IF(OR(AC365="",N(Z365)=0),"",AC365/Z365)</f>
        <v/>
      </c>
      <c r="AE365" s="25" t="str">
        <f aca="false">IF(OR(S365="",N(Z365)=0),"",IF($B365="Short",-1,1)*(S365-H365)*G365/Z365)</f>
        <v/>
      </c>
      <c r="AF365" s="25" t="str">
        <f aca="false">IF(OR(T365="",N(Z365)=0),"",IF($B365="Short",-1,1)*(T365-H365)*G365/Z365)</f>
        <v/>
      </c>
      <c r="AG365" s="21" t="str">
        <f aca="false">IF(U365&lt;&gt;"Open","",Y365*MAX(0,IF($B365="Short",-1,1)*(H365-IF(K365="",I365,K365))))</f>
        <v/>
      </c>
      <c r="AH365" s="26" t="str">
        <f aca="false">IF(U365&lt;&gt;"Closed","",DATE(YEAR(P365),MONTH(P365),1))</f>
        <v/>
      </c>
      <c r="AI365" s="19" t="str">
        <f aca="false">IF(U365&lt;&gt;"Closed","",COUNTIFS($U$7:$U$506,"Closed",$P$7:$P$506,"&lt;"&amp;P365)+COUNTIFS($U$7:U365,"Closed",$P$7:P365,P365))</f>
        <v/>
      </c>
    </row>
    <row r="366" customFormat="false" ht="15" hidden="false" customHeight="false" outlineLevel="0" collapsed="false">
      <c r="A366" s="13"/>
      <c r="B366" s="14"/>
      <c r="C366" s="14"/>
      <c r="D366" s="14"/>
      <c r="E366" s="15"/>
      <c r="F366" s="15"/>
      <c r="G366" s="16"/>
      <c r="H366" s="17"/>
      <c r="I366" s="17"/>
      <c r="J366" s="17"/>
      <c r="K366" s="17"/>
      <c r="L366" s="16"/>
      <c r="M366" s="17"/>
      <c r="N366" s="16"/>
      <c r="O366" s="17"/>
      <c r="P366" s="15"/>
      <c r="Q366" s="17"/>
      <c r="R366" s="17"/>
      <c r="S366" s="17"/>
      <c r="T366" s="17"/>
      <c r="U366" s="18" t="str">
        <f aca="false">IF(A366="","",IF(N(G366)-N(L366)-N(N366)&lt;0,"Check shares",IF(AND(P366&lt;&gt;"",Q366&lt;&gt;""),"Closed","Open")))</f>
        <v/>
      </c>
      <c r="V366" s="19" t="str">
        <f aca="false">IF(OR(F366="",P366=""),"",NETWORKDAYS(F366,P366,Lists!$F$5:$F$40)-1)</f>
        <v/>
      </c>
      <c r="W366" s="18" t="str">
        <f aca="false">IF(V366="","",IF(V366=0,"Same day","Overnight"))</f>
        <v/>
      </c>
      <c r="X366" s="18" t="str">
        <f aca="false">IF(OR(E366="",F366=""),"",IF(AND(E366&gt;=F366,OR(P366="",E366&lt;=P366)),"Yes","No"))</f>
        <v/>
      </c>
      <c r="Y366" s="20" t="str">
        <f aca="false">IF(A366="","",N(G366)-N(L366)-N(N366))</f>
        <v/>
      </c>
      <c r="Z366" s="21" t="str">
        <f aca="false">IF(OR(G366="",H366="",I366=""),"",ABS(H366-I366)*G366)</f>
        <v/>
      </c>
      <c r="AA366" s="22" t="str">
        <f aca="false">IF(OR(J366="",N(Z366)=0),"",ABS(J366-H366)/ABS(H366-I366))</f>
        <v/>
      </c>
      <c r="AB366" s="23" t="str">
        <f aca="false">IF(U366&lt;&gt;"Closed","",(N(L366)*N(M366)+N(N366)*N(O366)+Y366*Q366)/G366)</f>
        <v/>
      </c>
      <c r="AC366" s="24" t="str">
        <f aca="false">IF(U366&lt;&gt;"Closed","",IF($B366="Short",-1,1)*((N(M366)-H366)*N(L366)+(N(O366)-H366)*N(N366)+(Q366-H366)*Y366)-N(R366))</f>
        <v/>
      </c>
      <c r="AD366" s="25" t="str">
        <f aca="false">IF(OR(AC366="",N(Z366)=0),"",AC366/Z366)</f>
        <v/>
      </c>
      <c r="AE366" s="25" t="str">
        <f aca="false">IF(OR(S366="",N(Z366)=0),"",IF($B366="Short",-1,1)*(S366-H366)*G366/Z366)</f>
        <v/>
      </c>
      <c r="AF366" s="25" t="str">
        <f aca="false">IF(OR(T366="",N(Z366)=0),"",IF($B366="Short",-1,1)*(T366-H366)*G366/Z366)</f>
        <v/>
      </c>
      <c r="AG366" s="21" t="str">
        <f aca="false">IF(U366&lt;&gt;"Open","",Y366*MAX(0,IF($B366="Short",-1,1)*(H366-IF(K366="",I366,K366))))</f>
        <v/>
      </c>
      <c r="AH366" s="26" t="str">
        <f aca="false">IF(U366&lt;&gt;"Closed","",DATE(YEAR(P366),MONTH(P366),1))</f>
        <v/>
      </c>
      <c r="AI366" s="19" t="str">
        <f aca="false">IF(U366&lt;&gt;"Closed","",COUNTIFS($U$7:$U$506,"Closed",$P$7:$P$506,"&lt;"&amp;P366)+COUNTIFS($U$7:U366,"Closed",$P$7:P366,P366))</f>
        <v/>
      </c>
    </row>
    <row r="367" customFormat="false" ht="15" hidden="false" customHeight="false" outlineLevel="0" collapsed="false">
      <c r="A367" s="13"/>
      <c r="B367" s="14"/>
      <c r="C367" s="14"/>
      <c r="D367" s="14"/>
      <c r="E367" s="15"/>
      <c r="F367" s="15"/>
      <c r="G367" s="16"/>
      <c r="H367" s="17"/>
      <c r="I367" s="17"/>
      <c r="J367" s="17"/>
      <c r="K367" s="17"/>
      <c r="L367" s="16"/>
      <c r="M367" s="17"/>
      <c r="N367" s="16"/>
      <c r="O367" s="17"/>
      <c r="P367" s="15"/>
      <c r="Q367" s="17"/>
      <c r="R367" s="17"/>
      <c r="S367" s="17"/>
      <c r="T367" s="17"/>
      <c r="U367" s="18" t="str">
        <f aca="false">IF(A367="","",IF(N(G367)-N(L367)-N(N367)&lt;0,"Check shares",IF(AND(P367&lt;&gt;"",Q367&lt;&gt;""),"Closed","Open")))</f>
        <v/>
      </c>
      <c r="V367" s="19" t="str">
        <f aca="false">IF(OR(F367="",P367=""),"",NETWORKDAYS(F367,P367,Lists!$F$5:$F$40)-1)</f>
        <v/>
      </c>
      <c r="W367" s="18" t="str">
        <f aca="false">IF(V367="","",IF(V367=0,"Same day","Overnight"))</f>
        <v/>
      </c>
      <c r="X367" s="18" t="str">
        <f aca="false">IF(OR(E367="",F367=""),"",IF(AND(E367&gt;=F367,OR(P367="",E367&lt;=P367)),"Yes","No"))</f>
        <v/>
      </c>
      <c r="Y367" s="20" t="str">
        <f aca="false">IF(A367="","",N(G367)-N(L367)-N(N367))</f>
        <v/>
      </c>
      <c r="Z367" s="21" t="str">
        <f aca="false">IF(OR(G367="",H367="",I367=""),"",ABS(H367-I367)*G367)</f>
        <v/>
      </c>
      <c r="AA367" s="22" t="str">
        <f aca="false">IF(OR(J367="",N(Z367)=0),"",ABS(J367-H367)/ABS(H367-I367))</f>
        <v/>
      </c>
      <c r="AB367" s="23" t="str">
        <f aca="false">IF(U367&lt;&gt;"Closed","",(N(L367)*N(M367)+N(N367)*N(O367)+Y367*Q367)/G367)</f>
        <v/>
      </c>
      <c r="AC367" s="24" t="str">
        <f aca="false">IF(U367&lt;&gt;"Closed","",IF($B367="Short",-1,1)*((N(M367)-H367)*N(L367)+(N(O367)-H367)*N(N367)+(Q367-H367)*Y367)-N(R367))</f>
        <v/>
      </c>
      <c r="AD367" s="25" t="str">
        <f aca="false">IF(OR(AC367="",N(Z367)=0),"",AC367/Z367)</f>
        <v/>
      </c>
      <c r="AE367" s="25" t="str">
        <f aca="false">IF(OR(S367="",N(Z367)=0),"",IF($B367="Short",-1,1)*(S367-H367)*G367/Z367)</f>
        <v/>
      </c>
      <c r="AF367" s="25" t="str">
        <f aca="false">IF(OR(T367="",N(Z367)=0),"",IF($B367="Short",-1,1)*(T367-H367)*G367/Z367)</f>
        <v/>
      </c>
      <c r="AG367" s="21" t="str">
        <f aca="false">IF(U367&lt;&gt;"Open","",Y367*MAX(0,IF($B367="Short",-1,1)*(H367-IF(K367="",I367,K367))))</f>
        <v/>
      </c>
      <c r="AH367" s="26" t="str">
        <f aca="false">IF(U367&lt;&gt;"Closed","",DATE(YEAR(P367),MONTH(P367),1))</f>
        <v/>
      </c>
      <c r="AI367" s="19" t="str">
        <f aca="false">IF(U367&lt;&gt;"Closed","",COUNTIFS($U$7:$U$506,"Closed",$P$7:$P$506,"&lt;"&amp;P367)+COUNTIFS($U$7:U367,"Closed",$P$7:P367,P367))</f>
        <v/>
      </c>
    </row>
    <row r="368" customFormat="false" ht="15" hidden="false" customHeight="false" outlineLevel="0" collapsed="false">
      <c r="A368" s="13"/>
      <c r="B368" s="14"/>
      <c r="C368" s="14"/>
      <c r="D368" s="14"/>
      <c r="E368" s="15"/>
      <c r="F368" s="15"/>
      <c r="G368" s="16"/>
      <c r="H368" s="17"/>
      <c r="I368" s="17"/>
      <c r="J368" s="17"/>
      <c r="K368" s="17"/>
      <c r="L368" s="16"/>
      <c r="M368" s="17"/>
      <c r="N368" s="16"/>
      <c r="O368" s="17"/>
      <c r="P368" s="15"/>
      <c r="Q368" s="17"/>
      <c r="R368" s="17"/>
      <c r="S368" s="17"/>
      <c r="T368" s="17"/>
      <c r="U368" s="18" t="str">
        <f aca="false">IF(A368="","",IF(N(G368)-N(L368)-N(N368)&lt;0,"Check shares",IF(AND(P368&lt;&gt;"",Q368&lt;&gt;""),"Closed","Open")))</f>
        <v/>
      </c>
      <c r="V368" s="19" t="str">
        <f aca="false">IF(OR(F368="",P368=""),"",NETWORKDAYS(F368,P368,Lists!$F$5:$F$40)-1)</f>
        <v/>
      </c>
      <c r="W368" s="18" t="str">
        <f aca="false">IF(V368="","",IF(V368=0,"Same day","Overnight"))</f>
        <v/>
      </c>
      <c r="X368" s="18" t="str">
        <f aca="false">IF(OR(E368="",F368=""),"",IF(AND(E368&gt;=F368,OR(P368="",E368&lt;=P368)),"Yes","No"))</f>
        <v/>
      </c>
      <c r="Y368" s="20" t="str">
        <f aca="false">IF(A368="","",N(G368)-N(L368)-N(N368))</f>
        <v/>
      </c>
      <c r="Z368" s="21" t="str">
        <f aca="false">IF(OR(G368="",H368="",I368=""),"",ABS(H368-I368)*G368)</f>
        <v/>
      </c>
      <c r="AA368" s="22" t="str">
        <f aca="false">IF(OR(J368="",N(Z368)=0),"",ABS(J368-H368)/ABS(H368-I368))</f>
        <v/>
      </c>
      <c r="AB368" s="23" t="str">
        <f aca="false">IF(U368&lt;&gt;"Closed","",(N(L368)*N(M368)+N(N368)*N(O368)+Y368*Q368)/G368)</f>
        <v/>
      </c>
      <c r="AC368" s="24" t="str">
        <f aca="false">IF(U368&lt;&gt;"Closed","",IF($B368="Short",-1,1)*((N(M368)-H368)*N(L368)+(N(O368)-H368)*N(N368)+(Q368-H368)*Y368)-N(R368))</f>
        <v/>
      </c>
      <c r="AD368" s="25" t="str">
        <f aca="false">IF(OR(AC368="",N(Z368)=0),"",AC368/Z368)</f>
        <v/>
      </c>
      <c r="AE368" s="25" t="str">
        <f aca="false">IF(OR(S368="",N(Z368)=0),"",IF($B368="Short",-1,1)*(S368-H368)*G368/Z368)</f>
        <v/>
      </c>
      <c r="AF368" s="25" t="str">
        <f aca="false">IF(OR(T368="",N(Z368)=0),"",IF($B368="Short",-1,1)*(T368-H368)*G368/Z368)</f>
        <v/>
      </c>
      <c r="AG368" s="21" t="str">
        <f aca="false">IF(U368&lt;&gt;"Open","",Y368*MAX(0,IF($B368="Short",-1,1)*(H368-IF(K368="",I368,K368))))</f>
        <v/>
      </c>
      <c r="AH368" s="26" t="str">
        <f aca="false">IF(U368&lt;&gt;"Closed","",DATE(YEAR(P368),MONTH(P368),1))</f>
        <v/>
      </c>
      <c r="AI368" s="19" t="str">
        <f aca="false">IF(U368&lt;&gt;"Closed","",COUNTIFS($U$7:$U$506,"Closed",$P$7:$P$506,"&lt;"&amp;P368)+COUNTIFS($U$7:U368,"Closed",$P$7:P368,P368))</f>
        <v/>
      </c>
    </row>
    <row r="369" customFormat="false" ht="15" hidden="false" customHeight="false" outlineLevel="0" collapsed="false">
      <c r="A369" s="13"/>
      <c r="B369" s="14"/>
      <c r="C369" s="14"/>
      <c r="D369" s="14"/>
      <c r="E369" s="15"/>
      <c r="F369" s="15"/>
      <c r="G369" s="16"/>
      <c r="H369" s="17"/>
      <c r="I369" s="17"/>
      <c r="J369" s="17"/>
      <c r="K369" s="17"/>
      <c r="L369" s="16"/>
      <c r="M369" s="17"/>
      <c r="N369" s="16"/>
      <c r="O369" s="17"/>
      <c r="P369" s="15"/>
      <c r="Q369" s="17"/>
      <c r="R369" s="17"/>
      <c r="S369" s="17"/>
      <c r="T369" s="17"/>
      <c r="U369" s="18" t="str">
        <f aca="false">IF(A369="","",IF(N(G369)-N(L369)-N(N369)&lt;0,"Check shares",IF(AND(P369&lt;&gt;"",Q369&lt;&gt;""),"Closed","Open")))</f>
        <v/>
      </c>
      <c r="V369" s="19" t="str">
        <f aca="false">IF(OR(F369="",P369=""),"",NETWORKDAYS(F369,P369,Lists!$F$5:$F$40)-1)</f>
        <v/>
      </c>
      <c r="W369" s="18" t="str">
        <f aca="false">IF(V369="","",IF(V369=0,"Same day","Overnight"))</f>
        <v/>
      </c>
      <c r="X369" s="18" t="str">
        <f aca="false">IF(OR(E369="",F369=""),"",IF(AND(E369&gt;=F369,OR(P369="",E369&lt;=P369)),"Yes","No"))</f>
        <v/>
      </c>
      <c r="Y369" s="20" t="str">
        <f aca="false">IF(A369="","",N(G369)-N(L369)-N(N369))</f>
        <v/>
      </c>
      <c r="Z369" s="21" t="str">
        <f aca="false">IF(OR(G369="",H369="",I369=""),"",ABS(H369-I369)*G369)</f>
        <v/>
      </c>
      <c r="AA369" s="22" t="str">
        <f aca="false">IF(OR(J369="",N(Z369)=0),"",ABS(J369-H369)/ABS(H369-I369))</f>
        <v/>
      </c>
      <c r="AB369" s="23" t="str">
        <f aca="false">IF(U369&lt;&gt;"Closed","",(N(L369)*N(M369)+N(N369)*N(O369)+Y369*Q369)/G369)</f>
        <v/>
      </c>
      <c r="AC369" s="24" t="str">
        <f aca="false">IF(U369&lt;&gt;"Closed","",IF($B369="Short",-1,1)*((N(M369)-H369)*N(L369)+(N(O369)-H369)*N(N369)+(Q369-H369)*Y369)-N(R369))</f>
        <v/>
      </c>
      <c r="AD369" s="25" t="str">
        <f aca="false">IF(OR(AC369="",N(Z369)=0),"",AC369/Z369)</f>
        <v/>
      </c>
      <c r="AE369" s="25" t="str">
        <f aca="false">IF(OR(S369="",N(Z369)=0),"",IF($B369="Short",-1,1)*(S369-H369)*G369/Z369)</f>
        <v/>
      </c>
      <c r="AF369" s="25" t="str">
        <f aca="false">IF(OR(T369="",N(Z369)=0),"",IF($B369="Short",-1,1)*(T369-H369)*G369/Z369)</f>
        <v/>
      </c>
      <c r="AG369" s="21" t="str">
        <f aca="false">IF(U369&lt;&gt;"Open","",Y369*MAX(0,IF($B369="Short",-1,1)*(H369-IF(K369="",I369,K369))))</f>
        <v/>
      </c>
      <c r="AH369" s="26" t="str">
        <f aca="false">IF(U369&lt;&gt;"Closed","",DATE(YEAR(P369),MONTH(P369),1))</f>
        <v/>
      </c>
      <c r="AI369" s="19" t="str">
        <f aca="false">IF(U369&lt;&gt;"Closed","",COUNTIFS($U$7:$U$506,"Closed",$P$7:$P$506,"&lt;"&amp;P369)+COUNTIFS($U$7:U369,"Closed",$P$7:P369,P369))</f>
        <v/>
      </c>
    </row>
    <row r="370" customFormat="false" ht="15" hidden="false" customHeight="false" outlineLevel="0" collapsed="false">
      <c r="A370" s="13"/>
      <c r="B370" s="14"/>
      <c r="C370" s="14"/>
      <c r="D370" s="14"/>
      <c r="E370" s="15"/>
      <c r="F370" s="15"/>
      <c r="G370" s="16"/>
      <c r="H370" s="17"/>
      <c r="I370" s="17"/>
      <c r="J370" s="17"/>
      <c r="K370" s="17"/>
      <c r="L370" s="16"/>
      <c r="M370" s="17"/>
      <c r="N370" s="16"/>
      <c r="O370" s="17"/>
      <c r="P370" s="15"/>
      <c r="Q370" s="17"/>
      <c r="R370" s="17"/>
      <c r="S370" s="17"/>
      <c r="T370" s="17"/>
      <c r="U370" s="18" t="str">
        <f aca="false">IF(A370="","",IF(N(G370)-N(L370)-N(N370)&lt;0,"Check shares",IF(AND(P370&lt;&gt;"",Q370&lt;&gt;""),"Closed","Open")))</f>
        <v/>
      </c>
      <c r="V370" s="19" t="str">
        <f aca="false">IF(OR(F370="",P370=""),"",NETWORKDAYS(F370,P370,Lists!$F$5:$F$40)-1)</f>
        <v/>
      </c>
      <c r="W370" s="18" t="str">
        <f aca="false">IF(V370="","",IF(V370=0,"Same day","Overnight"))</f>
        <v/>
      </c>
      <c r="X370" s="18" t="str">
        <f aca="false">IF(OR(E370="",F370=""),"",IF(AND(E370&gt;=F370,OR(P370="",E370&lt;=P370)),"Yes","No"))</f>
        <v/>
      </c>
      <c r="Y370" s="20" t="str">
        <f aca="false">IF(A370="","",N(G370)-N(L370)-N(N370))</f>
        <v/>
      </c>
      <c r="Z370" s="21" t="str">
        <f aca="false">IF(OR(G370="",H370="",I370=""),"",ABS(H370-I370)*G370)</f>
        <v/>
      </c>
      <c r="AA370" s="22" t="str">
        <f aca="false">IF(OR(J370="",N(Z370)=0),"",ABS(J370-H370)/ABS(H370-I370))</f>
        <v/>
      </c>
      <c r="AB370" s="23" t="str">
        <f aca="false">IF(U370&lt;&gt;"Closed","",(N(L370)*N(M370)+N(N370)*N(O370)+Y370*Q370)/G370)</f>
        <v/>
      </c>
      <c r="AC370" s="24" t="str">
        <f aca="false">IF(U370&lt;&gt;"Closed","",IF($B370="Short",-1,1)*((N(M370)-H370)*N(L370)+(N(O370)-H370)*N(N370)+(Q370-H370)*Y370)-N(R370))</f>
        <v/>
      </c>
      <c r="AD370" s="25" t="str">
        <f aca="false">IF(OR(AC370="",N(Z370)=0),"",AC370/Z370)</f>
        <v/>
      </c>
      <c r="AE370" s="25" t="str">
        <f aca="false">IF(OR(S370="",N(Z370)=0),"",IF($B370="Short",-1,1)*(S370-H370)*G370/Z370)</f>
        <v/>
      </c>
      <c r="AF370" s="25" t="str">
        <f aca="false">IF(OR(T370="",N(Z370)=0),"",IF($B370="Short",-1,1)*(T370-H370)*G370/Z370)</f>
        <v/>
      </c>
      <c r="AG370" s="21" t="str">
        <f aca="false">IF(U370&lt;&gt;"Open","",Y370*MAX(0,IF($B370="Short",-1,1)*(H370-IF(K370="",I370,K370))))</f>
        <v/>
      </c>
      <c r="AH370" s="26" t="str">
        <f aca="false">IF(U370&lt;&gt;"Closed","",DATE(YEAR(P370),MONTH(P370),1))</f>
        <v/>
      </c>
      <c r="AI370" s="19" t="str">
        <f aca="false">IF(U370&lt;&gt;"Closed","",COUNTIFS($U$7:$U$506,"Closed",$P$7:$P$506,"&lt;"&amp;P370)+COUNTIFS($U$7:U370,"Closed",$P$7:P370,P370))</f>
        <v/>
      </c>
    </row>
    <row r="371" customFormat="false" ht="15" hidden="false" customHeight="false" outlineLevel="0" collapsed="false">
      <c r="A371" s="13"/>
      <c r="B371" s="14"/>
      <c r="C371" s="14"/>
      <c r="D371" s="14"/>
      <c r="E371" s="15"/>
      <c r="F371" s="15"/>
      <c r="G371" s="16"/>
      <c r="H371" s="17"/>
      <c r="I371" s="17"/>
      <c r="J371" s="17"/>
      <c r="K371" s="17"/>
      <c r="L371" s="16"/>
      <c r="M371" s="17"/>
      <c r="N371" s="16"/>
      <c r="O371" s="17"/>
      <c r="P371" s="15"/>
      <c r="Q371" s="17"/>
      <c r="R371" s="17"/>
      <c r="S371" s="17"/>
      <c r="T371" s="17"/>
      <c r="U371" s="18" t="str">
        <f aca="false">IF(A371="","",IF(N(G371)-N(L371)-N(N371)&lt;0,"Check shares",IF(AND(P371&lt;&gt;"",Q371&lt;&gt;""),"Closed","Open")))</f>
        <v/>
      </c>
      <c r="V371" s="19" t="str">
        <f aca="false">IF(OR(F371="",P371=""),"",NETWORKDAYS(F371,P371,Lists!$F$5:$F$40)-1)</f>
        <v/>
      </c>
      <c r="W371" s="18" t="str">
        <f aca="false">IF(V371="","",IF(V371=0,"Same day","Overnight"))</f>
        <v/>
      </c>
      <c r="X371" s="18" t="str">
        <f aca="false">IF(OR(E371="",F371=""),"",IF(AND(E371&gt;=F371,OR(P371="",E371&lt;=P371)),"Yes","No"))</f>
        <v/>
      </c>
      <c r="Y371" s="20" t="str">
        <f aca="false">IF(A371="","",N(G371)-N(L371)-N(N371))</f>
        <v/>
      </c>
      <c r="Z371" s="21" t="str">
        <f aca="false">IF(OR(G371="",H371="",I371=""),"",ABS(H371-I371)*G371)</f>
        <v/>
      </c>
      <c r="AA371" s="22" t="str">
        <f aca="false">IF(OR(J371="",N(Z371)=0),"",ABS(J371-H371)/ABS(H371-I371))</f>
        <v/>
      </c>
      <c r="AB371" s="23" t="str">
        <f aca="false">IF(U371&lt;&gt;"Closed","",(N(L371)*N(M371)+N(N371)*N(O371)+Y371*Q371)/G371)</f>
        <v/>
      </c>
      <c r="AC371" s="24" t="str">
        <f aca="false">IF(U371&lt;&gt;"Closed","",IF($B371="Short",-1,1)*((N(M371)-H371)*N(L371)+(N(O371)-H371)*N(N371)+(Q371-H371)*Y371)-N(R371))</f>
        <v/>
      </c>
      <c r="AD371" s="25" t="str">
        <f aca="false">IF(OR(AC371="",N(Z371)=0),"",AC371/Z371)</f>
        <v/>
      </c>
      <c r="AE371" s="25" t="str">
        <f aca="false">IF(OR(S371="",N(Z371)=0),"",IF($B371="Short",-1,1)*(S371-H371)*G371/Z371)</f>
        <v/>
      </c>
      <c r="AF371" s="25" t="str">
        <f aca="false">IF(OR(T371="",N(Z371)=0),"",IF($B371="Short",-1,1)*(T371-H371)*G371/Z371)</f>
        <v/>
      </c>
      <c r="AG371" s="21" t="str">
        <f aca="false">IF(U371&lt;&gt;"Open","",Y371*MAX(0,IF($B371="Short",-1,1)*(H371-IF(K371="",I371,K371))))</f>
        <v/>
      </c>
      <c r="AH371" s="26" t="str">
        <f aca="false">IF(U371&lt;&gt;"Closed","",DATE(YEAR(P371),MONTH(P371),1))</f>
        <v/>
      </c>
      <c r="AI371" s="19" t="str">
        <f aca="false">IF(U371&lt;&gt;"Closed","",COUNTIFS($U$7:$U$506,"Closed",$P$7:$P$506,"&lt;"&amp;P371)+COUNTIFS($U$7:U371,"Closed",$P$7:P371,P371))</f>
        <v/>
      </c>
    </row>
    <row r="372" customFormat="false" ht="15" hidden="false" customHeight="false" outlineLevel="0" collapsed="false">
      <c r="A372" s="13"/>
      <c r="B372" s="14"/>
      <c r="C372" s="14"/>
      <c r="D372" s="14"/>
      <c r="E372" s="15"/>
      <c r="F372" s="15"/>
      <c r="G372" s="16"/>
      <c r="H372" s="17"/>
      <c r="I372" s="17"/>
      <c r="J372" s="17"/>
      <c r="K372" s="17"/>
      <c r="L372" s="16"/>
      <c r="M372" s="17"/>
      <c r="N372" s="16"/>
      <c r="O372" s="17"/>
      <c r="P372" s="15"/>
      <c r="Q372" s="17"/>
      <c r="R372" s="17"/>
      <c r="S372" s="17"/>
      <c r="T372" s="17"/>
      <c r="U372" s="18" t="str">
        <f aca="false">IF(A372="","",IF(N(G372)-N(L372)-N(N372)&lt;0,"Check shares",IF(AND(P372&lt;&gt;"",Q372&lt;&gt;""),"Closed","Open")))</f>
        <v/>
      </c>
      <c r="V372" s="19" t="str">
        <f aca="false">IF(OR(F372="",P372=""),"",NETWORKDAYS(F372,P372,Lists!$F$5:$F$40)-1)</f>
        <v/>
      </c>
      <c r="W372" s="18" t="str">
        <f aca="false">IF(V372="","",IF(V372=0,"Same day","Overnight"))</f>
        <v/>
      </c>
      <c r="X372" s="18" t="str">
        <f aca="false">IF(OR(E372="",F372=""),"",IF(AND(E372&gt;=F372,OR(P372="",E372&lt;=P372)),"Yes","No"))</f>
        <v/>
      </c>
      <c r="Y372" s="20" t="str">
        <f aca="false">IF(A372="","",N(G372)-N(L372)-N(N372))</f>
        <v/>
      </c>
      <c r="Z372" s="21" t="str">
        <f aca="false">IF(OR(G372="",H372="",I372=""),"",ABS(H372-I372)*G372)</f>
        <v/>
      </c>
      <c r="AA372" s="22" t="str">
        <f aca="false">IF(OR(J372="",N(Z372)=0),"",ABS(J372-H372)/ABS(H372-I372))</f>
        <v/>
      </c>
      <c r="AB372" s="23" t="str">
        <f aca="false">IF(U372&lt;&gt;"Closed","",(N(L372)*N(M372)+N(N372)*N(O372)+Y372*Q372)/G372)</f>
        <v/>
      </c>
      <c r="AC372" s="24" t="str">
        <f aca="false">IF(U372&lt;&gt;"Closed","",IF($B372="Short",-1,1)*((N(M372)-H372)*N(L372)+(N(O372)-H372)*N(N372)+(Q372-H372)*Y372)-N(R372))</f>
        <v/>
      </c>
      <c r="AD372" s="25" t="str">
        <f aca="false">IF(OR(AC372="",N(Z372)=0),"",AC372/Z372)</f>
        <v/>
      </c>
      <c r="AE372" s="25" t="str">
        <f aca="false">IF(OR(S372="",N(Z372)=0),"",IF($B372="Short",-1,1)*(S372-H372)*G372/Z372)</f>
        <v/>
      </c>
      <c r="AF372" s="25" t="str">
        <f aca="false">IF(OR(T372="",N(Z372)=0),"",IF($B372="Short",-1,1)*(T372-H372)*G372/Z372)</f>
        <v/>
      </c>
      <c r="AG372" s="21" t="str">
        <f aca="false">IF(U372&lt;&gt;"Open","",Y372*MAX(0,IF($B372="Short",-1,1)*(H372-IF(K372="",I372,K372))))</f>
        <v/>
      </c>
      <c r="AH372" s="26" t="str">
        <f aca="false">IF(U372&lt;&gt;"Closed","",DATE(YEAR(P372),MONTH(P372),1))</f>
        <v/>
      </c>
      <c r="AI372" s="19" t="str">
        <f aca="false">IF(U372&lt;&gt;"Closed","",COUNTIFS($U$7:$U$506,"Closed",$P$7:$P$506,"&lt;"&amp;P372)+COUNTIFS($U$7:U372,"Closed",$P$7:P372,P372))</f>
        <v/>
      </c>
    </row>
    <row r="373" customFormat="false" ht="15" hidden="false" customHeight="false" outlineLevel="0" collapsed="false">
      <c r="A373" s="13"/>
      <c r="B373" s="14"/>
      <c r="C373" s="14"/>
      <c r="D373" s="14"/>
      <c r="E373" s="15"/>
      <c r="F373" s="15"/>
      <c r="G373" s="16"/>
      <c r="H373" s="17"/>
      <c r="I373" s="17"/>
      <c r="J373" s="17"/>
      <c r="K373" s="17"/>
      <c r="L373" s="16"/>
      <c r="M373" s="17"/>
      <c r="N373" s="16"/>
      <c r="O373" s="17"/>
      <c r="P373" s="15"/>
      <c r="Q373" s="17"/>
      <c r="R373" s="17"/>
      <c r="S373" s="17"/>
      <c r="T373" s="17"/>
      <c r="U373" s="18" t="str">
        <f aca="false">IF(A373="","",IF(N(G373)-N(L373)-N(N373)&lt;0,"Check shares",IF(AND(P373&lt;&gt;"",Q373&lt;&gt;""),"Closed","Open")))</f>
        <v/>
      </c>
      <c r="V373" s="19" t="str">
        <f aca="false">IF(OR(F373="",P373=""),"",NETWORKDAYS(F373,P373,Lists!$F$5:$F$40)-1)</f>
        <v/>
      </c>
      <c r="W373" s="18" t="str">
        <f aca="false">IF(V373="","",IF(V373=0,"Same day","Overnight"))</f>
        <v/>
      </c>
      <c r="X373" s="18" t="str">
        <f aca="false">IF(OR(E373="",F373=""),"",IF(AND(E373&gt;=F373,OR(P373="",E373&lt;=P373)),"Yes","No"))</f>
        <v/>
      </c>
      <c r="Y373" s="20" t="str">
        <f aca="false">IF(A373="","",N(G373)-N(L373)-N(N373))</f>
        <v/>
      </c>
      <c r="Z373" s="21" t="str">
        <f aca="false">IF(OR(G373="",H373="",I373=""),"",ABS(H373-I373)*G373)</f>
        <v/>
      </c>
      <c r="AA373" s="22" t="str">
        <f aca="false">IF(OR(J373="",N(Z373)=0),"",ABS(J373-H373)/ABS(H373-I373))</f>
        <v/>
      </c>
      <c r="AB373" s="23" t="str">
        <f aca="false">IF(U373&lt;&gt;"Closed","",(N(L373)*N(M373)+N(N373)*N(O373)+Y373*Q373)/G373)</f>
        <v/>
      </c>
      <c r="AC373" s="24" t="str">
        <f aca="false">IF(U373&lt;&gt;"Closed","",IF($B373="Short",-1,1)*((N(M373)-H373)*N(L373)+(N(O373)-H373)*N(N373)+(Q373-H373)*Y373)-N(R373))</f>
        <v/>
      </c>
      <c r="AD373" s="25" t="str">
        <f aca="false">IF(OR(AC373="",N(Z373)=0),"",AC373/Z373)</f>
        <v/>
      </c>
      <c r="AE373" s="25" t="str">
        <f aca="false">IF(OR(S373="",N(Z373)=0),"",IF($B373="Short",-1,1)*(S373-H373)*G373/Z373)</f>
        <v/>
      </c>
      <c r="AF373" s="25" t="str">
        <f aca="false">IF(OR(T373="",N(Z373)=0),"",IF($B373="Short",-1,1)*(T373-H373)*G373/Z373)</f>
        <v/>
      </c>
      <c r="AG373" s="21" t="str">
        <f aca="false">IF(U373&lt;&gt;"Open","",Y373*MAX(0,IF($B373="Short",-1,1)*(H373-IF(K373="",I373,K373))))</f>
        <v/>
      </c>
      <c r="AH373" s="26" t="str">
        <f aca="false">IF(U373&lt;&gt;"Closed","",DATE(YEAR(P373),MONTH(P373),1))</f>
        <v/>
      </c>
      <c r="AI373" s="19" t="str">
        <f aca="false">IF(U373&lt;&gt;"Closed","",COUNTIFS($U$7:$U$506,"Closed",$P$7:$P$506,"&lt;"&amp;P373)+COUNTIFS($U$7:U373,"Closed",$P$7:P373,P373))</f>
        <v/>
      </c>
    </row>
    <row r="374" customFormat="false" ht="15" hidden="false" customHeight="false" outlineLevel="0" collapsed="false">
      <c r="A374" s="13"/>
      <c r="B374" s="14"/>
      <c r="C374" s="14"/>
      <c r="D374" s="14"/>
      <c r="E374" s="15"/>
      <c r="F374" s="15"/>
      <c r="G374" s="16"/>
      <c r="H374" s="17"/>
      <c r="I374" s="17"/>
      <c r="J374" s="17"/>
      <c r="K374" s="17"/>
      <c r="L374" s="16"/>
      <c r="M374" s="17"/>
      <c r="N374" s="16"/>
      <c r="O374" s="17"/>
      <c r="P374" s="15"/>
      <c r="Q374" s="17"/>
      <c r="R374" s="17"/>
      <c r="S374" s="17"/>
      <c r="T374" s="17"/>
      <c r="U374" s="18" t="str">
        <f aca="false">IF(A374="","",IF(N(G374)-N(L374)-N(N374)&lt;0,"Check shares",IF(AND(P374&lt;&gt;"",Q374&lt;&gt;""),"Closed","Open")))</f>
        <v/>
      </c>
      <c r="V374" s="19" t="str">
        <f aca="false">IF(OR(F374="",P374=""),"",NETWORKDAYS(F374,P374,Lists!$F$5:$F$40)-1)</f>
        <v/>
      </c>
      <c r="W374" s="18" t="str">
        <f aca="false">IF(V374="","",IF(V374=0,"Same day","Overnight"))</f>
        <v/>
      </c>
      <c r="X374" s="18" t="str">
        <f aca="false">IF(OR(E374="",F374=""),"",IF(AND(E374&gt;=F374,OR(P374="",E374&lt;=P374)),"Yes","No"))</f>
        <v/>
      </c>
      <c r="Y374" s="20" t="str">
        <f aca="false">IF(A374="","",N(G374)-N(L374)-N(N374))</f>
        <v/>
      </c>
      <c r="Z374" s="21" t="str">
        <f aca="false">IF(OR(G374="",H374="",I374=""),"",ABS(H374-I374)*G374)</f>
        <v/>
      </c>
      <c r="AA374" s="22" t="str">
        <f aca="false">IF(OR(J374="",N(Z374)=0),"",ABS(J374-H374)/ABS(H374-I374))</f>
        <v/>
      </c>
      <c r="AB374" s="23" t="str">
        <f aca="false">IF(U374&lt;&gt;"Closed","",(N(L374)*N(M374)+N(N374)*N(O374)+Y374*Q374)/G374)</f>
        <v/>
      </c>
      <c r="AC374" s="24" t="str">
        <f aca="false">IF(U374&lt;&gt;"Closed","",IF($B374="Short",-1,1)*((N(M374)-H374)*N(L374)+(N(O374)-H374)*N(N374)+(Q374-H374)*Y374)-N(R374))</f>
        <v/>
      </c>
      <c r="AD374" s="25" t="str">
        <f aca="false">IF(OR(AC374="",N(Z374)=0),"",AC374/Z374)</f>
        <v/>
      </c>
      <c r="AE374" s="25" t="str">
        <f aca="false">IF(OR(S374="",N(Z374)=0),"",IF($B374="Short",-1,1)*(S374-H374)*G374/Z374)</f>
        <v/>
      </c>
      <c r="AF374" s="25" t="str">
        <f aca="false">IF(OR(T374="",N(Z374)=0),"",IF($B374="Short",-1,1)*(T374-H374)*G374/Z374)</f>
        <v/>
      </c>
      <c r="AG374" s="21" t="str">
        <f aca="false">IF(U374&lt;&gt;"Open","",Y374*MAX(0,IF($B374="Short",-1,1)*(H374-IF(K374="",I374,K374))))</f>
        <v/>
      </c>
      <c r="AH374" s="26" t="str">
        <f aca="false">IF(U374&lt;&gt;"Closed","",DATE(YEAR(P374),MONTH(P374),1))</f>
        <v/>
      </c>
      <c r="AI374" s="19" t="str">
        <f aca="false">IF(U374&lt;&gt;"Closed","",COUNTIFS($U$7:$U$506,"Closed",$P$7:$P$506,"&lt;"&amp;P374)+COUNTIFS($U$7:U374,"Closed",$P$7:P374,P374))</f>
        <v/>
      </c>
    </row>
    <row r="375" customFormat="false" ht="15" hidden="false" customHeight="false" outlineLevel="0" collapsed="false">
      <c r="A375" s="13"/>
      <c r="B375" s="14"/>
      <c r="C375" s="14"/>
      <c r="D375" s="14"/>
      <c r="E375" s="15"/>
      <c r="F375" s="15"/>
      <c r="G375" s="16"/>
      <c r="H375" s="17"/>
      <c r="I375" s="17"/>
      <c r="J375" s="17"/>
      <c r="K375" s="17"/>
      <c r="L375" s="16"/>
      <c r="M375" s="17"/>
      <c r="N375" s="16"/>
      <c r="O375" s="17"/>
      <c r="P375" s="15"/>
      <c r="Q375" s="17"/>
      <c r="R375" s="17"/>
      <c r="S375" s="17"/>
      <c r="T375" s="17"/>
      <c r="U375" s="18" t="str">
        <f aca="false">IF(A375="","",IF(N(G375)-N(L375)-N(N375)&lt;0,"Check shares",IF(AND(P375&lt;&gt;"",Q375&lt;&gt;""),"Closed","Open")))</f>
        <v/>
      </c>
      <c r="V375" s="19" t="str">
        <f aca="false">IF(OR(F375="",P375=""),"",NETWORKDAYS(F375,P375,Lists!$F$5:$F$40)-1)</f>
        <v/>
      </c>
      <c r="W375" s="18" t="str">
        <f aca="false">IF(V375="","",IF(V375=0,"Same day","Overnight"))</f>
        <v/>
      </c>
      <c r="X375" s="18" t="str">
        <f aca="false">IF(OR(E375="",F375=""),"",IF(AND(E375&gt;=F375,OR(P375="",E375&lt;=P375)),"Yes","No"))</f>
        <v/>
      </c>
      <c r="Y375" s="20" t="str">
        <f aca="false">IF(A375="","",N(G375)-N(L375)-N(N375))</f>
        <v/>
      </c>
      <c r="Z375" s="21" t="str">
        <f aca="false">IF(OR(G375="",H375="",I375=""),"",ABS(H375-I375)*G375)</f>
        <v/>
      </c>
      <c r="AA375" s="22" t="str">
        <f aca="false">IF(OR(J375="",N(Z375)=0),"",ABS(J375-H375)/ABS(H375-I375))</f>
        <v/>
      </c>
      <c r="AB375" s="23" t="str">
        <f aca="false">IF(U375&lt;&gt;"Closed","",(N(L375)*N(M375)+N(N375)*N(O375)+Y375*Q375)/G375)</f>
        <v/>
      </c>
      <c r="AC375" s="24" t="str">
        <f aca="false">IF(U375&lt;&gt;"Closed","",IF($B375="Short",-1,1)*((N(M375)-H375)*N(L375)+(N(O375)-H375)*N(N375)+(Q375-H375)*Y375)-N(R375))</f>
        <v/>
      </c>
      <c r="AD375" s="25" t="str">
        <f aca="false">IF(OR(AC375="",N(Z375)=0),"",AC375/Z375)</f>
        <v/>
      </c>
      <c r="AE375" s="25" t="str">
        <f aca="false">IF(OR(S375="",N(Z375)=0),"",IF($B375="Short",-1,1)*(S375-H375)*G375/Z375)</f>
        <v/>
      </c>
      <c r="AF375" s="25" t="str">
        <f aca="false">IF(OR(T375="",N(Z375)=0),"",IF($B375="Short",-1,1)*(T375-H375)*G375/Z375)</f>
        <v/>
      </c>
      <c r="AG375" s="21" t="str">
        <f aca="false">IF(U375&lt;&gt;"Open","",Y375*MAX(0,IF($B375="Short",-1,1)*(H375-IF(K375="",I375,K375))))</f>
        <v/>
      </c>
      <c r="AH375" s="26" t="str">
        <f aca="false">IF(U375&lt;&gt;"Closed","",DATE(YEAR(P375),MONTH(P375),1))</f>
        <v/>
      </c>
      <c r="AI375" s="19" t="str">
        <f aca="false">IF(U375&lt;&gt;"Closed","",COUNTIFS($U$7:$U$506,"Closed",$P$7:$P$506,"&lt;"&amp;P375)+COUNTIFS($U$7:U375,"Closed",$P$7:P375,P375))</f>
        <v/>
      </c>
    </row>
    <row r="376" customFormat="false" ht="15" hidden="false" customHeight="false" outlineLevel="0" collapsed="false">
      <c r="A376" s="13"/>
      <c r="B376" s="14"/>
      <c r="C376" s="14"/>
      <c r="D376" s="14"/>
      <c r="E376" s="15"/>
      <c r="F376" s="15"/>
      <c r="G376" s="16"/>
      <c r="H376" s="17"/>
      <c r="I376" s="17"/>
      <c r="J376" s="17"/>
      <c r="K376" s="17"/>
      <c r="L376" s="16"/>
      <c r="M376" s="17"/>
      <c r="N376" s="16"/>
      <c r="O376" s="17"/>
      <c r="P376" s="15"/>
      <c r="Q376" s="17"/>
      <c r="R376" s="17"/>
      <c r="S376" s="17"/>
      <c r="T376" s="17"/>
      <c r="U376" s="18" t="str">
        <f aca="false">IF(A376="","",IF(N(G376)-N(L376)-N(N376)&lt;0,"Check shares",IF(AND(P376&lt;&gt;"",Q376&lt;&gt;""),"Closed","Open")))</f>
        <v/>
      </c>
      <c r="V376" s="19" t="str">
        <f aca="false">IF(OR(F376="",P376=""),"",NETWORKDAYS(F376,P376,Lists!$F$5:$F$40)-1)</f>
        <v/>
      </c>
      <c r="W376" s="18" t="str">
        <f aca="false">IF(V376="","",IF(V376=0,"Same day","Overnight"))</f>
        <v/>
      </c>
      <c r="X376" s="18" t="str">
        <f aca="false">IF(OR(E376="",F376=""),"",IF(AND(E376&gt;=F376,OR(P376="",E376&lt;=P376)),"Yes","No"))</f>
        <v/>
      </c>
      <c r="Y376" s="20" t="str">
        <f aca="false">IF(A376="","",N(G376)-N(L376)-N(N376))</f>
        <v/>
      </c>
      <c r="Z376" s="21" t="str">
        <f aca="false">IF(OR(G376="",H376="",I376=""),"",ABS(H376-I376)*G376)</f>
        <v/>
      </c>
      <c r="AA376" s="22" t="str">
        <f aca="false">IF(OR(J376="",N(Z376)=0),"",ABS(J376-H376)/ABS(H376-I376))</f>
        <v/>
      </c>
      <c r="AB376" s="23" t="str">
        <f aca="false">IF(U376&lt;&gt;"Closed","",(N(L376)*N(M376)+N(N376)*N(O376)+Y376*Q376)/G376)</f>
        <v/>
      </c>
      <c r="AC376" s="24" t="str">
        <f aca="false">IF(U376&lt;&gt;"Closed","",IF($B376="Short",-1,1)*((N(M376)-H376)*N(L376)+(N(O376)-H376)*N(N376)+(Q376-H376)*Y376)-N(R376))</f>
        <v/>
      </c>
      <c r="AD376" s="25" t="str">
        <f aca="false">IF(OR(AC376="",N(Z376)=0),"",AC376/Z376)</f>
        <v/>
      </c>
      <c r="AE376" s="25" t="str">
        <f aca="false">IF(OR(S376="",N(Z376)=0),"",IF($B376="Short",-1,1)*(S376-H376)*G376/Z376)</f>
        <v/>
      </c>
      <c r="AF376" s="25" t="str">
        <f aca="false">IF(OR(T376="",N(Z376)=0),"",IF($B376="Short",-1,1)*(T376-H376)*G376/Z376)</f>
        <v/>
      </c>
      <c r="AG376" s="21" t="str">
        <f aca="false">IF(U376&lt;&gt;"Open","",Y376*MAX(0,IF($B376="Short",-1,1)*(H376-IF(K376="",I376,K376))))</f>
        <v/>
      </c>
      <c r="AH376" s="26" t="str">
        <f aca="false">IF(U376&lt;&gt;"Closed","",DATE(YEAR(P376),MONTH(P376),1))</f>
        <v/>
      </c>
      <c r="AI376" s="19" t="str">
        <f aca="false">IF(U376&lt;&gt;"Closed","",COUNTIFS($U$7:$U$506,"Closed",$P$7:$P$506,"&lt;"&amp;P376)+COUNTIFS($U$7:U376,"Closed",$P$7:P376,P376))</f>
        <v/>
      </c>
    </row>
    <row r="377" customFormat="false" ht="15" hidden="false" customHeight="false" outlineLevel="0" collapsed="false">
      <c r="A377" s="13"/>
      <c r="B377" s="14"/>
      <c r="C377" s="14"/>
      <c r="D377" s="14"/>
      <c r="E377" s="15"/>
      <c r="F377" s="15"/>
      <c r="G377" s="16"/>
      <c r="H377" s="17"/>
      <c r="I377" s="17"/>
      <c r="J377" s="17"/>
      <c r="K377" s="17"/>
      <c r="L377" s="16"/>
      <c r="M377" s="17"/>
      <c r="N377" s="16"/>
      <c r="O377" s="17"/>
      <c r="P377" s="15"/>
      <c r="Q377" s="17"/>
      <c r="R377" s="17"/>
      <c r="S377" s="17"/>
      <c r="T377" s="17"/>
      <c r="U377" s="18" t="str">
        <f aca="false">IF(A377="","",IF(N(G377)-N(L377)-N(N377)&lt;0,"Check shares",IF(AND(P377&lt;&gt;"",Q377&lt;&gt;""),"Closed","Open")))</f>
        <v/>
      </c>
      <c r="V377" s="19" t="str">
        <f aca="false">IF(OR(F377="",P377=""),"",NETWORKDAYS(F377,P377,Lists!$F$5:$F$40)-1)</f>
        <v/>
      </c>
      <c r="W377" s="18" t="str">
        <f aca="false">IF(V377="","",IF(V377=0,"Same day","Overnight"))</f>
        <v/>
      </c>
      <c r="X377" s="18" t="str">
        <f aca="false">IF(OR(E377="",F377=""),"",IF(AND(E377&gt;=F377,OR(P377="",E377&lt;=P377)),"Yes","No"))</f>
        <v/>
      </c>
      <c r="Y377" s="20" t="str">
        <f aca="false">IF(A377="","",N(G377)-N(L377)-N(N377))</f>
        <v/>
      </c>
      <c r="Z377" s="21" t="str">
        <f aca="false">IF(OR(G377="",H377="",I377=""),"",ABS(H377-I377)*G377)</f>
        <v/>
      </c>
      <c r="AA377" s="22" t="str">
        <f aca="false">IF(OR(J377="",N(Z377)=0),"",ABS(J377-H377)/ABS(H377-I377))</f>
        <v/>
      </c>
      <c r="AB377" s="23" t="str">
        <f aca="false">IF(U377&lt;&gt;"Closed","",(N(L377)*N(M377)+N(N377)*N(O377)+Y377*Q377)/G377)</f>
        <v/>
      </c>
      <c r="AC377" s="24" t="str">
        <f aca="false">IF(U377&lt;&gt;"Closed","",IF($B377="Short",-1,1)*((N(M377)-H377)*N(L377)+(N(O377)-H377)*N(N377)+(Q377-H377)*Y377)-N(R377))</f>
        <v/>
      </c>
      <c r="AD377" s="25" t="str">
        <f aca="false">IF(OR(AC377="",N(Z377)=0),"",AC377/Z377)</f>
        <v/>
      </c>
      <c r="AE377" s="25" t="str">
        <f aca="false">IF(OR(S377="",N(Z377)=0),"",IF($B377="Short",-1,1)*(S377-H377)*G377/Z377)</f>
        <v/>
      </c>
      <c r="AF377" s="25" t="str">
        <f aca="false">IF(OR(T377="",N(Z377)=0),"",IF($B377="Short",-1,1)*(T377-H377)*G377/Z377)</f>
        <v/>
      </c>
      <c r="AG377" s="21" t="str">
        <f aca="false">IF(U377&lt;&gt;"Open","",Y377*MAX(0,IF($B377="Short",-1,1)*(H377-IF(K377="",I377,K377))))</f>
        <v/>
      </c>
      <c r="AH377" s="26" t="str">
        <f aca="false">IF(U377&lt;&gt;"Closed","",DATE(YEAR(P377),MONTH(P377),1))</f>
        <v/>
      </c>
      <c r="AI377" s="19" t="str">
        <f aca="false">IF(U377&lt;&gt;"Closed","",COUNTIFS($U$7:$U$506,"Closed",$P$7:$P$506,"&lt;"&amp;P377)+COUNTIFS($U$7:U377,"Closed",$P$7:P377,P377))</f>
        <v/>
      </c>
    </row>
    <row r="378" customFormat="false" ht="15" hidden="false" customHeight="false" outlineLevel="0" collapsed="false">
      <c r="A378" s="13"/>
      <c r="B378" s="14"/>
      <c r="C378" s="14"/>
      <c r="D378" s="14"/>
      <c r="E378" s="15"/>
      <c r="F378" s="15"/>
      <c r="G378" s="16"/>
      <c r="H378" s="17"/>
      <c r="I378" s="17"/>
      <c r="J378" s="17"/>
      <c r="K378" s="17"/>
      <c r="L378" s="16"/>
      <c r="M378" s="17"/>
      <c r="N378" s="16"/>
      <c r="O378" s="17"/>
      <c r="P378" s="15"/>
      <c r="Q378" s="17"/>
      <c r="R378" s="17"/>
      <c r="S378" s="17"/>
      <c r="T378" s="17"/>
      <c r="U378" s="18" t="str">
        <f aca="false">IF(A378="","",IF(N(G378)-N(L378)-N(N378)&lt;0,"Check shares",IF(AND(P378&lt;&gt;"",Q378&lt;&gt;""),"Closed","Open")))</f>
        <v/>
      </c>
      <c r="V378" s="19" t="str">
        <f aca="false">IF(OR(F378="",P378=""),"",NETWORKDAYS(F378,P378,Lists!$F$5:$F$40)-1)</f>
        <v/>
      </c>
      <c r="W378" s="18" t="str">
        <f aca="false">IF(V378="","",IF(V378=0,"Same day","Overnight"))</f>
        <v/>
      </c>
      <c r="X378" s="18" t="str">
        <f aca="false">IF(OR(E378="",F378=""),"",IF(AND(E378&gt;=F378,OR(P378="",E378&lt;=P378)),"Yes","No"))</f>
        <v/>
      </c>
      <c r="Y378" s="20" t="str">
        <f aca="false">IF(A378="","",N(G378)-N(L378)-N(N378))</f>
        <v/>
      </c>
      <c r="Z378" s="21" t="str">
        <f aca="false">IF(OR(G378="",H378="",I378=""),"",ABS(H378-I378)*G378)</f>
        <v/>
      </c>
      <c r="AA378" s="22" t="str">
        <f aca="false">IF(OR(J378="",N(Z378)=0),"",ABS(J378-H378)/ABS(H378-I378))</f>
        <v/>
      </c>
      <c r="AB378" s="23" t="str">
        <f aca="false">IF(U378&lt;&gt;"Closed","",(N(L378)*N(M378)+N(N378)*N(O378)+Y378*Q378)/G378)</f>
        <v/>
      </c>
      <c r="AC378" s="24" t="str">
        <f aca="false">IF(U378&lt;&gt;"Closed","",IF($B378="Short",-1,1)*((N(M378)-H378)*N(L378)+(N(O378)-H378)*N(N378)+(Q378-H378)*Y378)-N(R378))</f>
        <v/>
      </c>
      <c r="AD378" s="25" t="str">
        <f aca="false">IF(OR(AC378="",N(Z378)=0),"",AC378/Z378)</f>
        <v/>
      </c>
      <c r="AE378" s="25" t="str">
        <f aca="false">IF(OR(S378="",N(Z378)=0),"",IF($B378="Short",-1,1)*(S378-H378)*G378/Z378)</f>
        <v/>
      </c>
      <c r="AF378" s="25" t="str">
        <f aca="false">IF(OR(T378="",N(Z378)=0),"",IF($B378="Short",-1,1)*(T378-H378)*G378/Z378)</f>
        <v/>
      </c>
      <c r="AG378" s="21" t="str">
        <f aca="false">IF(U378&lt;&gt;"Open","",Y378*MAX(0,IF($B378="Short",-1,1)*(H378-IF(K378="",I378,K378))))</f>
        <v/>
      </c>
      <c r="AH378" s="26" t="str">
        <f aca="false">IF(U378&lt;&gt;"Closed","",DATE(YEAR(P378),MONTH(P378),1))</f>
        <v/>
      </c>
      <c r="AI378" s="19" t="str">
        <f aca="false">IF(U378&lt;&gt;"Closed","",COUNTIFS($U$7:$U$506,"Closed",$P$7:$P$506,"&lt;"&amp;P378)+COUNTIFS($U$7:U378,"Closed",$P$7:P378,P378))</f>
        <v/>
      </c>
    </row>
    <row r="379" customFormat="false" ht="15" hidden="false" customHeight="false" outlineLevel="0" collapsed="false">
      <c r="A379" s="13"/>
      <c r="B379" s="14"/>
      <c r="C379" s="14"/>
      <c r="D379" s="14"/>
      <c r="E379" s="15"/>
      <c r="F379" s="15"/>
      <c r="G379" s="16"/>
      <c r="H379" s="17"/>
      <c r="I379" s="17"/>
      <c r="J379" s="17"/>
      <c r="K379" s="17"/>
      <c r="L379" s="16"/>
      <c r="M379" s="17"/>
      <c r="N379" s="16"/>
      <c r="O379" s="17"/>
      <c r="P379" s="15"/>
      <c r="Q379" s="17"/>
      <c r="R379" s="17"/>
      <c r="S379" s="17"/>
      <c r="T379" s="17"/>
      <c r="U379" s="18" t="str">
        <f aca="false">IF(A379="","",IF(N(G379)-N(L379)-N(N379)&lt;0,"Check shares",IF(AND(P379&lt;&gt;"",Q379&lt;&gt;""),"Closed","Open")))</f>
        <v/>
      </c>
      <c r="V379" s="19" t="str">
        <f aca="false">IF(OR(F379="",P379=""),"",NETWORKDAYS(F379,P379,Lists!$F$5:$F$40)-1)</f>
        <v/>
      </c>
      <c r="W379" s="18" t="str">
        <f aca="false">IF(V379="","",IF(V379=0,"Same day","Overnight"))</f>
        <v/>
      </c>
      <c r="X379" s="18" t="str">
        <f aca="false">IF(OR(E379="",F379=""),"",IF(AND(E379&gt;=F379,OR(P379="",E379&lt;=P379)),"Yes","No"))</f>
        <v/>
      </c>
      <c r="Y379" s="20" t="str">
        <f aca="false">IF(A379="","",N(G379)-N(L379)-N(N379))</f>
        <v/>
      </c>
      <c r="Z379" s="21" t="str">
        <f aca="false">IF(OR(G379="",H379="",I379=""),"",ABS(H379-I379)*G379)</f>
        <v/>
      </c>
      <c r="AA379" s="22" t="str">
        <f aca="false">IF(OR(J379="",N(Z379)=0),"",ABS(J379-H379)/ABS(H379-I379))</f>
        <v/>
      </c>
      <c r="AB379" s="23" t="str">
        <f aca="false">IF(U379&lt;&gt;"Closed","",(N(L379)*N(M379)+N(N379)*N(O379)+Y379*Q379)/G379)</f>
        <v/>
      </c>
      <c r="AC379" s="24" t="str">
        <f aca="false">IF(U379&lt;&gt;"Closed","",IF($B379="Short",-1,1)*((N(M379)-H379)*N(L379)+(N(O379)-H379)*N(N379)+(Q379-H379)*Y379)-N(R379))</f>
        <v/>
      </c>
      <c r="AD379" s="25" t="str">
        <f aca="false">IF(OR(AC379="",N(Z379)=0),"",AC379/Z379)</f>
        <v/>
      </c>
      <c r="AE379" s="25" t="str">
        <f aca="false">IF(OR(S379="",N(Z379)=0),"",IF($B379="Short",-1,1)*(S379-H379)*G379/Z379)</f>
        <v/>
      </c>
      <c r="AF379" s="25" t="str">
        <f aca="false">IF(OR(T379="",N(Z379)=0),"",IF($B379="Short",-1,1)*(T379-H379)*G379/Z379)</f>
        <v/>
      </c>
      <c r="AG379" s="21" t="str">
        <f aca="false">IF(U379&lt;&gt;"Open","",Y379*MAX(0,IF($B379="Short",-1,1)*(H379-IF(K379="",I379,K379))))</f>
        <v/>
      </c>
      <c r="AH379" s="26" t="str">
        <f aca="false">IF(U379&lt;&gt;"Closed","",DATE(YEAR(P379),MONTH(P379),1))</f>
        <v/>
      </c>
      <c r="AI379" s="19" t="str">
        <f aca="false">IF(U379&lt;&gt;"Closed","",COUNTIFS($U$7:$U$506,"Closed",$P$7:$P$506,"&lt;"&amp;P379)+COUNTIFS($U$7:U379,"Closed",$P$7:P379,P379))</f>
        <v/>
      </c>
    </row>
    <row r="380" customFormat="false" ht="15" hidden="false" customHeight="false" outlineLevel="0" collapsed="false">
      <c r="A380" s="13"/>
      <c r="B380" s="14"/>
      <c r="C380" s="14"/>
      <c r="D380" s="14"/>
      <c r="E380" s="15"/>
      <c r="F380" s="15"/>
      <c r="G380" s="16"/>
      <c r="H380" s="17"/>
      <c r="I380" s="17"/>
      <c r="J380" s="17"/>
      <c r="K380" s="17"/>
      <c r="L380" s="16"/>
      <c r="M380" s="17"/>
      <c r="N380" s="16"/>
      <c r="O380" s="17"/>
      <c r="P380" s="15"/>
      <c r="Q380" s="17"/>
      <c r="R380" s="17"/>
      <c r="S380" s="17"/>
      <c r="T380" s="17"/>
      <c r="U380" s="18" t="str">
        <f aca="false">IF(A380="","",IF(N(G380)-N(L380)-N(N380)&lt;0,"Check shares",IF(AND(P380&lt;&gt;"",Q380&lt;&gt;""),"Closed","Open")))</f>
        <v/>
      </c>
      <c r="V380" s="19" t="str">
        <f aca="false">IF(OR(F380="",P380=""),"",NETWORKDAYS(F380,P380,Lists!$F$5:$F$40)-1)</f>
        <v/>
      </c>
      <c r="W380" s="18" t="str">
        <f aca="false">IF(V380="","",IF(V380=0,"Same day","Overnight"))</f>
        <v/>
      </c>
      <c r="X380" s="18" t="str">
        <f aca="false">IF(OR(E380="",F380=""),"",IF(AND(E380&gt;=F380,OR(P380="",E380&lt;=P380)),"Yes","No"))</f>
        <v/>
      </c>
      <c r="Y380" s="20" t="str">
        <f aca="false">IF(A380="","",N(G380)-N(L380)-N(N380))</f>
        <v/>
      </c>
      <c r="Z380" s="21" t="str">
        <f aca="false">IF(OR(G380="",H380="",I380=""),"",ABS(H380-I380)*G380)</f>
        <v/>
      </c>
      <c r="AA380" s="22" t="str">
        <f aca="false">IF(OR(J380="",N(Z380)=0),"",ABS(J380-H380)/ABS(H380-I380))</f>
        <v/>
      </c>
      <c r="AB380" s="23" t="str">
        <f aca="false">IF(U380&lt;&gt;"Closed","",(N(L380)*N(M380)+N(N380)*N(O380)+Y380*Q380)/G380)</f>
        <v/>
      </c>
      <c r="AC380" s="24" t="str">
        <f aca="false">IF(U380&lt;&gt;"Closed","",IF($B380="Short",-1,1)*((N(M380)-H380)*N(L380)+(N(O380)-H380)*N(N380)+(Q380-H380)*Y380)-N(R380))</f>
        <v/>
      </c>
      <c r="AD380" s="25" t="str">
        <f aca="false">IF(OR(AC380="",N(Z380)=0),"",AC380/Z380)</f>
        <v/>
      </c>
      <c r="AE380" s="25" t="str">
        <f aca="false">IF(OR(S380="",N(Z380)=0),"",IF($B380="Short",-1,1)*(S380-H380)*G380/Z380)</f>
        <v/>
      </c>
      <c r="AF380" s="25" t="str">
        <f aca="false">IF(OR(T380="",N(Z380)=0),"",IF($B380="Short",-1,1)*(T380-H380)*G380/Z380)</f>
        <v/>
      </c>
      <c r="AG380" s="21" t="str">
        <f aca="false">IF(U380&lt;&gt;"Open","",Y380*MAX(0,IF($B380="Short",-1,1)*(H380-IF(K380="",I380,K380))))</f>
        <v/>
      </c>
      <c r="AH380" s="26" t="str">
        <f aca="false">IF(U380&lt;&gt;"Closed","",DATE(YEAR(P380),MONTH(P380),1))</f>
        <v/>
      </c>
      <c r="AI380" s="19" t="str">
        <f aca="false">IF(U380&lt;&gt;"Closed","",COUNTIFS($U$7:$U$506,"Closed",$P$7:$P$506,"&lt;"&amp;P380)+COUNTIFS($U$7:U380,"Closed",$P$7:P380,P380))</f>
        <v/>
      </c>
    </row>
    <row r="381" customFormat="false" ht="15" hidden="false" customHeight="false" outlineLevel="0" collapsed="false">
      <c r="A381" s="13"/>
      <c r="B381" s="14"/>
      <c r="C381" s="14"/>
      <c r="D381" s="14"/>
      <c r="E381" s="15"/>
      <c r="F381" s="15"/>
      <c r="G381" s="16"/>
      <c r="H381" s="17"/>
      <c r="I381" s="17"/>
      <c r="J381" s="17"/>
      <c r="K381" s="17"/>
      <c r="L381" s="16"/>
      <c r="M381" s="17"/>
      <c r="N381" s="16"/>
      <c r="O381" s="17"/>
      <c r="P381" s="15"/>
      <c r="Q381" s="17"/>
      <c r="R381" s="17"/>
      <c r="S381" s="17"/>
      <c r="T381" s="17"/>
      <c r="U381" s="18" t="str">
        <f aca="false">IF(A381="","",IF(N(G381)-N(L381)-N(N381)&lt;0,"Check shares",IF(AND(P381&lt;&gt;"",Q381&lt;&gt;""),"Closed","Open")))</f>
        <v/>
      </c>
      <c r="V381" s="19" t="str">
        <f aca="false">IF(OR(F381="",P381=""),"",NETWORKDAYS(F381,P381,Lists!$F$5:$F$40)-1)</f>
        <v/>
      </c>
      <c r="W381" s="18" t="str">
        <f aca="false">IF(V381="","",IF(V381=0,"Same day","Overnight"))</f>
        <v/>
      </c>
      <c r="X381" s="18" t="str">
        <f aca="false">IF(OR(E381="",F381=""),"",IF(AND(E381&gt;=F381,OR(P381="",E381&lt;=P381)),"Yes","No"))</f>
        <v/>
      </c>
      <c r="Y381" s="20" t="str">
        <f aca="false">IF(A381="","",N(G381)-N(L381)-N(N381))</f>
        <v/>
      </c>
      <c r="Z381" s="21" t="str">
        <f aca="false">IF(OR(G381="",H381="",I381=""),"",ABS(H381-I381)*G381)</f>
        <v/>
      </c>
      <c r="AA381" s="22" t="str">
        <f aca="false">IF(OR(J381="",N(Z381)=0),"",ABS(J381-H381)/ABS(H381-I381))</f>
        <v/>
      </c>
      <c r="AB381" s="23" t="str">
        <f aca="false">IF(U381&lt;&gt;"Closed","",(N(L381)*N(M381)+N(N381)*N(O381)+Y381*Q381)/G381)</f>
        <v/>
      </c>
      <c r="AC381" s="24" t="str">
        <f aca="false">IF(U381&lt;&gt;"Closed","",IF($B381="Short",-1,1)*((N(M381)-H381)*N(L381)+(N(O381)-H381)*N(N381)+(Q381-H381)*Y381)-N(R381))</f>
        <v/>
      </c>
      <c r="AD381" s="25" t="str">
        <f aca="false">IF(OR(AC381="",N(Z381)=0),"",AC381/Z381)</f>
        <v/>
      </c>
      <c r="AE381" s="25" t="str">
        <f aca="false">IF(OR(S381="",N(Z381)=0),"",IF($B381="Short",-1,1)*(S381-H381)*G381/Z381)</f>
        <v/>
      </c>
      <c r="AF381" s="25" t="str">
        <f aca="false">IF(OR(T381="",N(Z381)=0),"",IF($B381="Short",-1,1)*(T381-H381)*G381/Z381)</f>
        <v/>
      </c>
      <c r="AG381" s="21" t="str">
        <f aca="false">IF(U381&lt;&gt;"Open","",Y381*MAX(0,IF($B381="Short",-1,1)*(H381-IF(K381="",I381,K381))))</f>
        <v/>
      </c>
      <c r="AH381" s="26" t="str">
        <f aca="false">IF(U381&lt;&gt;"Closed","",DATE(YEAR(P381),MONTH(P381),1))</f>
        <v/>
      </c>
      <c r="AI381" s="19" t="str">
        <f aca="false">IF(U381&lt;&gt;"Closed","",COUNTIFS($U$7:$U$506,"Closed",$P$7:$P$506,"&lt;"&amp;P381)+COUNTIFS($U$7:U381,"Closed",$P$7:P381,P381))</f>
        <v/>
      </c>
    </row>
    <row r="382" customFormat="false" ht="15" hidden="false" customHeight="false" outlineLevel="0" collapsed="false">
      <c r="A382" s="13"/>
      <c r="B382" s="14"/>
      <c r="C382" s="14"/>
      <c r="D382" s="14"/>
      <c r="E382" s="15"/>
      <c r="F382" s="15"/>
      <c r="G382" s="16"/>
      <c r="H382" s="17"/>
      <c r="I382" s="17"/>
      <c r="J382" s="17"/>
      <c r="K382" s="17"/>
      <c r="L382" s="16"/>
      <c r="M382" s="17"/>
      <c r="N382" s="16"/>
      <c r="O382" s="17"/>
      <c r="P382" s="15"/>
      <c r="Q382" s="17"/>
      <c r="R382" s="17"/>
      <c r="S382" s="17"/>
      <c r="T382" s="17"/>
      <c r="U382" s="18" t="str">
        <f aca="false">IF(A382="","",IF(N(G382)-N(L382)-N(N382)&lt;0,"Check shares",IF(AND(P382&lt;&gt;"",Q382&lt;&gt;""),"Closed","Open")))</f>
        <v/>
      </c>
      <c r="V382" s="19" t="str">
        <f aca="false">IF(OR(F382="",P382=""),"",NETWORKDAYS(F382,P382,Lists!$F$5:$F$40)-1)</f>
        <v/>
      </c>
      <c r="W382" s="18" t="str">
        <f aca="false">IF(V382="","",IF(V382=0,"Same day","Overnight"))</f>
        <v/>
      </c>
      <c r="X382" s="18" t="str">
        <f aca="false">IF(OR(E382="",F382=""),"",IF(AND(E382&gt;=F382,OR(P382="",E382&lt;=P382)),"Yes","No"))</f>
        <v/>
      </c>
      <c r="Y382" s="20" t="str">
        <f aca="false">IF(A382="","",N(G382)-N(L382)-N(N382))</f>
        <v/>
      </c>
      <c r="Z382" s="21" t="str">
        <f aca="false">IF(OR(G382="",H382="",I382=""),"",ABS(H382-I382)*G382)</f>
        <v/>
      </c>
      <c r="AA382" s="22" t="str">
        <f aca="false">IF(OR(J382="",N(Z382)=0),"",ABS(J382-H382)/ABS(H382-I382))</f>
        <v/>
      </c>
      <c r="AB382" s="23" t="str">
        <f aca="false">IF(U382&lt;&gt;"Closed","",(N(L382)*N(M382)+N(N382)*N(O382)+Y382*Q382)/G382)</f>
        <v/>
      </c>
      <c r="AC382" s="24" t="str">
        <f aca="false">IF(U382&lt;&gt;"Closed","",IF($B382="Short",-1,1)*((N(M382)-H382)*N(L382)+(N(O382)-H382)*N(N382)+(Q382-H382)*Y382)-N(R382))</f>
        <v/>
      </c>
      <c r="AD382" s="25" t="str">
        <f aca="false">IF(OR(AC382="",N(Z382)=0),"",AC382/Z382)</f>
        <v/>
      </c>
      <c r="AE382" s="25" t="str">
        <f aca="false">IF(OR(S382="",N(Z382)=0),"",IF($B382="Short",-1,1)*(S382-H382)*G382/Z382)</f>
        <v/>
      </c>
      <c r="AF382" s="25" t="str">
        <f aca="false">IF(OR(T382="",N(Z382)=0),"",IF($B382="Short",-1,1)*(T382-H382)*G382/Z382)</f>
        <v/>
      </c>
      <c r="AG382" s="21" t="str">
        <f aca="false">IF(U382&lt;&gt;"Open","",Y382*MAX(0,IF($B382="Short",-1,1)*(H382-IF(K382="",I382,K382))))</f>
        <v/>
      </c>
      <c r="AH382" s="26" t="str">
        <f aca="false">IF(U382&lt;&gt;"Closed","",DATE(YEAR(P382),MONTH(P382),1))</f>
        <v/>
      </c>
      <c r="AI382" s="19" t="str">
        <f aca="false">IF(U382&lt;&gt;"Closed","",COUNTIFS($U$7:$U$506,"Closed",$P$7:$P$506,"&lt;"&amp;P382)+COUNTIFS($U$7:U382,"Closed",$P$7:P382,P382))</f>
        <v/>
      </c>
    </row>
    <row r="383" customFormat="false" ht="15" hidden="false" customHeight="false" outlineLevel="0" collapsed="false">
      <c r="A383" s="13"/>
      <c r="B383" s="14"/>
      <c r="C383" s="14"/>
      <c r="D383" s="14"/>
      <c r="E383" s="15"/>
      <c r="F383" s="15"/>
      <c r="G383" s="16"/>
      <c r="H383" s="17"/>
      <c r="I383" s="17"/>
      <c r="J383" s="17"/>
      <c r="K383" s="17"/>
      <c r="L383" s="16"/>
      <c r="M383" s="17"/>
      <c r="N383" s="16"/>
      <c r="O383" s="17"/>
      <c r="P383" s="15"/>
      <c r="Q383" s="17"/>
      <c r="R383" s="17"/>
      <c r="S383" s="17"/>
      <c r="T383" s="17"/>
      <c r="U383" s="18" t="str">
        <f aca="false">IF(A383="","",IF(N(G383)-N(L383)-N(N383)&lt;0,"Check shares",IF(AND(P383&lt;&gt;"",Q383&lt;&gt;""),"Closed","Open")))</f>
        <v/>
      </c>
      <c r="V383" s="19" t="str">
        <f aca="false">IF(OR(F383="",P383=""),"",NETWORKDAYS(F383,P383,Lists!$F$5:$F$40)-1)</f>
        <v/>
      </c>
      <c r="W383" s="18" t="str">
        <f aca="false">IF(V383="","",IF(V383=0,"Same day","Overnight"))</f>
        <v/>
      </c>
      <c r="X383" s="18" t="str">
        <f aca="false">IF(OR(E383="",F383=""),"",IF(AND(E383&gt;=F383,OR(P383="",E383&lt;=P383)),"Yes","No"))</f>
        <v/>
      </c>
      <c r="Y383" s="20" t="str">
        <f aca="false">IF(A383="","",N(G383)-N(L383)-N(N383))</f>
        <v/>
      </c>
      <c r="Z383" s="21" t="str">
        <f aca="false">IF(OR(G383="",H383="",I383=""),"",ABS(H383-I383)*G383)</f>
        <v/>
      </c>
      <c r="AA383" s="22" t="str">
        <f aca="false">IF(OR(J383="",N(Z383)=0),"",ABS(J383-H383)/ABS(H383-I383))</f>
        <v/>
      </c>
      <c r="AB383" s="23" t="str">
        <f aca="false">IF(U383&lt;&gt;"Closed","",(N(L383)*N(M383)+N(N383)*N(O383)+Y383*Q383)/G383)</f>
        <v/>
      </c>
      <c r="AC383" s="24" t="str">
        <f aca="false">IF(U383&lt;&gt;"Closed","",IF($B383="Short",-1,1)*((N(M383)-H383)*N(L383)+(N(O383)-H383)*N(N383)+(Q383-H383)*Y383)-N(R383))</f>
        <v/>
      </c>
      <c r="AD383" s="25" t="str">
        <f aca="false">IF(OR(AC383="",N(Z383)=0),"",AC383/Z383)</f>
        <v/>
      </c>
      <c r="AE383" s="25" t="str">
        <f aca="false">IF(OR(S383="",N(Z383)=0),"",IF($B383="Short",-1,1)*(S383-H383)*G383/Z383)</f>
        <v/>
      </c>
      <c r="AF383" s="25" t="str">
        <f aca="false">IF(OR(T383="",N(Z383)=0),"",IF($B383="Short",-1,1)*(T383-H383)*G383/Z383)</f>
        <v/>
      </c>
      <c r="AG383" s="21" t="str">
        <f aca="false">IF(U383&lt;&gt;"Open","",Y383*MAX(0,IF($B383="Short",-1,1)*(H383-IF(K383="",I383,K383))))</f>
        <v/>
      </c>
      <c r="AH383" s="26" t="str">
        <f aca="false">IF(U383&lt;&gt;"Closed","",DATE(YEAR(P383),MONTH(P383),1))</f>
        <v/>
      </c>
      <c r="AI383" s="19" t="str">
        <f aca="false">IF(U383&lt;&gt;"Closed","",COUNTIFS($U$7:$U$506,"Closed",$P$7:$P$506,"&lt;"&amp;P383)+COUNTIFS($U$7:U383,"Closed",$P$7:P383,P383))</f>
        <v/>
      </c>
    </row>
    <row r="384" customFormat="false" ht="15" hidden="false" customHeight="false" outlineLevel="0" collapsed="false">
      <c r="A384" s="13"/>
      <c r="B384" s="14"/>
      <c r="C384" s="14"/>
      <c r="D384" s="14"/>
      <c r="E384" s="15"/>
      <c r="F384" s="15"/>
      <c r="G384" s="16"/>
      <c r="H384" s="17"/>
      <c r="I384" s="17"/>
      <c r="J384" s="17"/>
      <c r="K384" s="17"/>
      <c r="L384" s="16"/>
      <c r="M384" s="17"/>
      <c r="N384" s="16"/>
      <c r="O384" s="17"/>
      <c r="P384" s="15"/>
      <c r="Q384" s="17"/>
      <c r="R384" s="17"/>
      <c r="S384" s="17"/>
      <c r="T384" s="17"/>
      <c r="U384" s="18" t="str">
        <f aca="false">IF(A384="","",IF(N(G384)-N(L384)-N(N384)&lt;0,"Check shares",IF(AND(P384&lt;&gt;"",Q384&lt;&gt;""),"Closed","Open")))</f>
        <v/>
      </c>
      <c r="V384" s="19" t="str">
        <f aca="false">IF(OR(F384="",P384=""),"",NETWORKDAYS(F384,P384,Lists!$F$5:$F$40)-1)</f>
        <v/>
      </c>
      <c r="W384" s="18" t="str">
        <f aca="false">IF(V384="","",IF(V384=0,"Same day","Overnight"))</f>
        <v/>
      </c>
      <c r="X384" s="18" t="str">
        <f aca="false">IF(OR(E384="",F384=""),"",IF(AND(E384&gt;=F384,OR(P384="",E384&lt;=P384)),"Yes","No"))</f>
        <v/>
      </c>
      <c r="Y384" s="20" t="str">
        <f aca="false">IF(A384="","",N(G384)-N(L384)-N(N384))</f>
        <v/>
      </c>
      <c r="Z384" s="21" t="str">
        <f aca="false">IF(OR(G384="",H384="",I384=""),"",ABS(H384-I384)*G384)</f>
        <v/>
      </c>
      <c r="AA384" s="22" t="str">
        <f aca="false">IF(OR(J384="",N(Z384)=0),"",ABS(J384-H384)/ABS(H384-I384))</f>
        <v/>
      </c>
      <c r="AB384" s="23" t="str">
        <f aca="false">IF(U384&lt;&gt;"Closed","",(N(L384)*N(M384)+N(N384)*N(O384)+Y384*Q384)/G384)</f>
        <v/>
      </c>
      <c r="AC384" s="24" t="str">
        <f aca="false">IF(U384&lt;&gt;"Closed","",IF($B384="Short",-1,1)*((N(M384)-H384)*N(L384)+(N(O384)-H384)*N(N384)+(Q384-H384)*Y384)-N(R384))</f>
        <v/>
      </c>
      <c r="AD384" s="25" t="str">
        <f aca="false">IF(OR(AC384="",N(Z384)=0),"",AC384/Z384)</f>
        <v/>
      </c>
      <c r="AE384" s="25" t="str">
        <f aca="false">IF(OR(S384="",N(Z384)=0),"",IF($B384="Short",-1,1)*(S384-H384)*G384/Z384)</f>
        <v/>
      </c>
      <c r="AF384" s="25" t="str">
        <f aca="false">IF(OR(T384="",N(Z384)=0),"",IF($B384="Short",-1,1)*(T384-H384)*G384/Z384)</f>
        <v/>
      </c>
      <c r="AG384" s="21" t="str">
        <f aca="false">IF(U384&lt;&gt;"Open","",Y384*MAX(0,IF($B384="Short",-1,1)*(H384-IF(K384="",I384,K384))))</f>
        <v/>
      </c>
      <c r="AH384" s="26" t="str">
        <f aca="false">IF(U384&lt;&gt;"Closed","",DATE(YEAR(P384),MONTH(P384),1))</f>
        <v/>
      </c>
      <c r="AI384" s="19" t="str">
        <f aca="false">IF(U384&lt;&gt;"Closed","",COUNTIFS($U$7:$U$506,"Closed",$P$7:$P$506,"&lt;"&amp;P384)+COUNTIFS($U$7:U384,"Closed",$P$7:P384,P384))</f>
        <v/>
      </c>
    </row>
    <row r="385" customFormat="false" ht="15" hidden="false" customHeight="false" outlineLevel="0" collapsed="false">
      <c r="A385" s="13"/>
      <c r="B385" s="14"/>
      <c r="C385" s="14"/>
      <c r="D385" s="14"/>
      <c r="E385" s="15"/>
      <c r="F385" s="15"/>
      <c r="G385" s="16"/>
      <c r="H385" s="17"/>
      <c r="I385" s="17"/>
      <c r="J385" s="17"/>
      <c r="K385" s="17"/>
      <c r="L385" s="16"/>
      <c r="M385" s="17"/>
      <c r="N385" s="16"/>
      <c r="O385" s="17"/>
      <c r="P385" s="15"/>
      <c r="Q385" s="17"/>
      <c r="R385" s="17"/>
      <c r="S385" s="17"/>
      <c r="T385" s="17"/>
      <c r="U385" s="18" t="str">
        <f aca="false">IF(A385="","",IF(N(G385)-N(L385)-N(N385)&lt;0,"Check shares",IF(AND(P385&lt;&gt;"",Q385&lt;&gt;""),"Closed","Open")))</f>
        <v/>
      </c>
      <c r="V385" s="19" t="str">
        <f aca="false">IF(OR(F385="",P385=""),"",NETWORKDAYS(F385,P385,Lists!$F$5:$F$40)-1)</f>
        <v/>
      </c>
      <c r="W385" s="18" t="str">
        <f aca="false">IF(V385="","",IF(V385=0,"Same day","Overnight"))</f>
        <v/>
      </c>
      <c r="X385" s="18" t="str">
        <f aca="false">IF(OR(E385="",F385=""),"",IF(AND(E385&gt;=F385,OR(P385="",E385&lt;=P385)),"Yes","No"))</f>
        <v/>
      </c>
      <c r="Y385" s="20" t="str">
        <f aca="false">IF(A385="","",N(G385)-N(L385)-N(N385))</f>
        <v/>
      </c>
      <c r="Z385" s="21" t="str">
        <f aca="false">IF(OR(G385="",H385="",I385=""),"",ABS(H385-I385)*G385)</f>
        <v/>
      </c>
      <c r="AA385" s="22" t="str">
        <f aca="false">IF(OR(J385="",N(Z385)=0),"",ABS(J385-H385)/ABS(H385-I385))</f>
        <v/>
      </c>
      <c r="AB385" s="23" t="str">
        <f aca="false">IF(U385&lt;&gt;"Closed","",(N(L385)*N(M385)+N(N385)*N(O385)+Y385*Q385)/G385)</f>
        <v/>
      </c>
      <c r="AC385" s="24" t="str">
        <f aca="false">IF(U385&lt;&gt;"Closed","",IF($B385="Short",-1,1)*((N(M385)-H385)*N(L385)+(N(O385)-H385)*N(N385)+(Q385-H385)*Y385)-N(R385))</f>
        <v/>
      </c>
      <c r="AD385" s="25" t="str">
        <f aca="false">IF(OR(AC385="",N(Z385)=0),"",AC385/Z385)</f>
        <v/>
      </c>
      <c r="AE385" s="25" t="str">
        <f aca="false">IF(OR(S385="",N(Z385)=0),"",IF($B385="Short",-1,1)*(S385-H385)*G385/Z385)</f>
        <v/>
      </c>
      <c r="AF385" s="25" t="str">
        <f aca="false">IF(OR(T385="",N(Z385)=0),"",IF($B385="Short",-1,1)*(T385-H385)*G385/Z385)</f>
        <v/>
      </c>
      <c r="AG385" s="21" t="str">
        <f aca="false">IF(U385&lt;&gt;"Open","",Y385*MAX(0,IF($B385="Short",-1,1)*(H385-IF(K385="",I385,K385))))</f>
        <v/>
      </c>
      <c r="AH385" s="26" t="str">
        <f aca="false">IF(U385&lt;&gt;"Closed","",DATE(YEAR(P385),MONTH(P385),1))</f>
        <v/>
      </c>
      <c r="AI385" s="19" t="str">
        <f aca="false">IF(U385&lt;&gt;"Closed","",COUNTIFS($U$7:$U$506,"Closed",$P$7:$P$506,"&lt;"&amp;P385)+COUNTIFS($U$7:U385,"Closed",$P$7:P385,P385))</f>
        <v/>
      </c>
    </row>
    <row r="386" customFormat="false" ht="15" hidden="false" customHeight="false" outlineLevel="0" collapsed="false">
      <c r="A386" s="13"/>
      <c r="B386" s="14"/>
      <c r="C386" s="14"/>
      <c r="D386" s="14"/>
      <c r="E386" s="15"/>
      <c r="F386" s="15"/>
      <c r="G386" s="16"/>
      <c r="H386" s="17"/>
      <c r="I386" s="17"/>
      <c r="J386" s="17"/>
      <c r="K386" s="17"/>
      <c r="L386" s="16"/>
      <c r="M386" s="17"/>
      <c r="N386" s="16"/>
      <c r="O386" s="17"/>
      <c r="P386" s="15"/>
      <c r="Q386" s="17"/>
      <c r="R386" s="17"/>
      <c r="S386" s="17"/>
      <c r="T386" s="17"/>
      <c r="U386" s="18" t="str">
        <f aca="false">IF(A386="","",IF(N(G386)-N(L386)-N(N386)&lt;0,"Check shares",IF(AND(P386&lt;&gt;"",Q386&lt;&gt;""),"Closed","Open")))</f>
        <v/>
      </c>
      <c r="V386" s="19" t="str">
        <f aca="false">IF(OR(F386="",P386=""),"",NETWORKDAYS(F386,P386,Lists!$F$5:$F$40)-1)</f>
        <v/>
      </c>
      <c r="W386" s="18" t="str">
        <f aca="false">IF(V386="","",IF(V386=0,"Same day","Overnight"))</f>
        <v/>
      </c>
      <c r="X386" s="18" t="str">
        <f aca="false">IF(OR(E386="",F386=""),"",IF(AND(E386&gt;=F386,OR(P386="",E386&lt;=P386)),"Yes","No"))</f>
        <v/>
      </c>
      <c r="Y386" s="20" t="str">
        <f aca="false">IF(A386="","",N(G386)-N(L386)-N(N386))</f>
        <v/>
      </c>
      <c r="Z386" s="21" t="str">
        <f aca="false">IF(OR(G386="",H386="",I386=""),"",ABS(H386-I386)*G386)</f>
        <v/>
      </c>
      <c r="AA386" s="22" t="str">
        <f aca="false">IF(OR(J386="",N(Z386)=0),"",ABS(J386-H386)/ABS(H386-I386))</f>
        <v/>
      </c>
      <c r="AB386" s="23" t="str">
        <f aca="false">IF(U386&lt;&gt;"Closed","",(N(L386)*N(M386)+N(N386)*N(O386)+Y386*Q386)/G386)</f>
        <v/>
      </c>
      <c r="AC386" s="24" t="str">
        <f aca="false">IF(U386&lt;&gt;"Closed","",IF($B386="Short",-1,1)*((N(M386)-H386)*N(L386)+(N(O386)-H386)*N(N386)+(Q386-H386)*Y386)-N(R386))</f>
        <v/>
      </c>
      <c r="AD386" s="25" t="str">
        <f aca="false">IF(OR(AC386="",N(Z386)=0),"",AC386/Z386)</f>
        <v/>
      </c>
      <c r="AE386" s="25" t="str">
        <f aca="false">IF(OR(S386="",N(Z386)=0),"",IF($B386="Short",-1,1)*(S386-H386)*G386/Z386)</f>
        <v/>
      </c>
      <c r="AF386" s="25" t="str">
        <f aca="false">IF(OR(T386="",N(Z386)=0),"",IF($B386="Short",-1,1)*(T386-H386)*G386/Z386)</f>
        <v/>
      </c>
      <c r="AG386" s="21" t="str">
        <f aca="false">IF(U386&lt;&gt;"Open","",Y386*MAX(0,IF($B386="Short",-1,1)*(H386-IF(K386="",I386,K386))))</f>
        <v/>
      </c>
      <c r="AH386" s="26" t="str">
        <f aca="false">IF(U386&lt;&gt;"Closed","",DATE(YEAR(P386),MONTH(P386),1))</f>
        <v/>
      </c>
      <c r="AI386" s="19" t="str">
        <f aca="false">IF(U386&lt;&gt;"Closed","",COUNTIFS($U$7:$U$506,"Closed",$P$7:$P$506,"&lt;"&amp;P386)+COUNTIFS($U$7:U386,"Closed",$P$7:P386,P386))</f>
        <v/>
      </c>
    </row>
    <row r="387" customFormat="false" ht="15" hidden="false" customHeight="false" outlineLevel="0" collapsed="false">
      <c r="A387" s="13"/>
      <c r="B387" s="14"/>
      <c r="C387" s="14"/>
      <c r="D387" s="14"/>
      <c r="E387" s="15"/>
      <c r="F387" s="15"/>
      <c r="G387" s="16"/>
      <c r="H387" s="17"/>
      <c r="I387" s="17"/>
      <c r="J387" s="17"/>
      <c r="K387" s="17"/>
      <c r="L387" s="16"/>
      <c r="M387" s="17"/>
      <c r="N387" s="16"/>
      <c r="O387" s="17"/>
      <c r="P387" s="15"/>
      <c r="Q387" s="17"/>
      <c r="R387" s="17"/>
      <c r="S387" s="17"/>
      <c r="T387" s="17"/>
      <c r="U387" s="18" t="str">
        <f aca="false">IF(A387="","",IF(N(G387)-N(L387)-N(N387)&lt;0,"Check shares",IF(AND(P387&lt;&gt;"",Q387&lt;&gt;""),"Closed","Open")))</f>
        <v/>
      </c>
      <c r="V387" s="19" t="str">
        <f aca="false">IF(OR(F387="",P387=""),"",NETWORKDAYS(F387,P387,Lists!$F$5:$F$40)-1)</f>
        <v/>
      </c>
      <c r="W387" s="18" t="str">
        <f aca="false">IF(V387="","",IF(V387=0,"Same day","Overnight"))</f>
        <v/>
      </c>
      <c r="X387" s="18" t="str">
        <f aca="false">IF(OR(E387="",F387=""),"",IF(AND(E387&gt;=F387,OR(P387="",E387&lt;=P387)),"Yes","No"))</f>
        <v/>
      </c>
      <c r="Y387" s="20" t="str">
        <f aca="false">IF(A387="","",N(G387)-N(L387)-N(N387))</f>
        <v/>
      </c>
      <c r="Z387" s="21" t="str">
        <f aca="false">IF(OR(G387="",H387="",I387=""),"",ABS(H387-I387)*G387)</f>
        <v/>
      </c>
      <c r="AA387" s="22" t="str">
        <f aca="false">IF(OR(J387="",N(Z387)=0),"",ABS(J387-H387)/ABS(H387-I387))</f>
        <v/>
      </c>
      <c r="AB387" s="23" t="str">
        <f aca="false">IF(U387&lt;&gt;"Closed","",(N(L387)*N(M387)+N(N387)*N(O387)+Y387*Q387)/G387)</f>
        <v/>
      </c>
      <c r="AC387" s="24" t="str">
        <f aca="false">IF(U387&lt;&gt;"Closed","",IF($B387="Short",-1,1)*((N(M387)-H387)*N(L387)+(N(O387)-H387)*N(N387)+(Q387-H387)*Y387)-N(R387))</f>
        <v/>
      </c>
      <c r="AD387" s="25" t="str">
        <f aca="false">IF(OR(AC387="",N(Z387)=0),"",AC387/Z387)</f>
        <v/>
      </c>
      <c r="AE387" s="25" t="str">
        <f aca="false">IF(OR(S387="",N(Z387)=0),"",IF($B387="Short",-1,1)*(S387-H387)*G387/Z387)</f>
        <v/>
      </c>
      <c r="AF387" s="25" t="str">
        <f aca="false">IF(OR(T387="",N(Z387)=0),"",IF($B387="Short",-1,1)*(T387-H387)*G387/Z387)</f>
        <v/>
      </c>
      <c r="AG387" s="21" t="str">
        <f aca="false">IF(U387&lt;&gt;"Open","",Y387*MAX(0,IF($B387="Short",-1,1)*(H387-IF(K387="",I387,K387))))</f>
        <v/>
      </c>
      <c r="AH387" s="26" t="str">
        <f aca="false">IF(U387&lt;&gt;"Closed","",DATE(YEAR(P387),MONTH(P387),1))</f>
        <v/>
      </c>
      <c r="AI387" s="19" t="str">
        <f aca="false">IF(U387&lt;&gt;"Closed","",COUNTIFS($U$7:$U$506,"Closed",$P$7:$P$506,"&lt;"&amp;P387)+COUNTIFS($U$7:U387,"Closed",$P$7:P387,P387))</f>
        <v/>
      </c>
    </row>
    <row r="388" customFormat="false" ht="15" hidden="false" customHeight="false" outlineLevel="0" collapsed="false">
      <c r="A388" s="13"/>
      <c r="B388" s="14"/>
      <c r="C388" s="14"/>
      <c r="D388" s="14"/>
      <c r="E388" s="15"/>
      <c r="F388" s="15"/>
      <c r="G388" s="16"/>
      <c r="H388" s="17"/>
      <c r="I388" s="17"/>
      <c r="J388" s="17"/>
      <c r="K388" s="17"/>
      <c r="L388" s="16"/>
      <c r="M388" s="17"/>
      <c r="N388" s="16"/>
      <c r="O388" s="17"/>
      <c r="P388" s="15"/>
      <c r="Q388" s="17"/>
      <c r="R388" s="17"/>
      <c r="S388" s="17"/>
      <c r="T388" s="17"/>
      <c r="U388" s="18" t="str">
        <f aca="false">IF(A388="","",IF(N(G388)-N(L388)-N(N388)&lt;0,"Check shares",IF(AND(P388&lt;&gt;"",Q388&lt;&gt;""),"Closed","Open")))</f>
        <v/>
      </c>
      <c r="V388" s="19" t="str">
        <f aca="false">IF(OR(F388="",P388=""),"",NETWORKDAYS(F388,P388,Lists!$F$5:$F$40)-1)</f>
        <v/>
      </c>
      <c r="W388" s="18" t="str">
        <f aca="false">IF(V388="","",IF(V388=0,"Same day","Overnight"))</f>
        <v/>
      </c>
      <c r="X388" s="18" t="str">
        <f aca="false">IF(OR(E388="",F388=""),"",IF(AND(E388&gt;=F388,OR(P388="",E388&lt;=P388)),"Yes","No"))</f>
        <v/>
      </c>
      <c r="Y388" s="20" t="str">
        <f aca="false">IF(A388="","",N(G388)-N(L388)-N(N388))</f>
        <v/>
      </c>
      <c r="Z388" s="21" t="str">
        <f aca="false">IF(OR(G388="",H388="",I388=""),"",ABS(H388-I388)*G388)</f>
        <v/>
      </c>
      <c r="AA388" s="22" t="str">
        <f aca="false">IF(OR(J388="",N(Z388)=0),"",ABS(J388-H388)/ABS(H388-I388))</f>
        <v/>
      </c>
      <c r="AB388" s="23" t="str">
        <f aca="false">IF(U388&lt;&gt;"Closed","",(N(L388)*N(M388)+N(N388)*N(O388)+Y388*Q388)/G388)</f>
        <v/>
      </c>
      <c r="AC388" s="24" t="str">
        <f aca="false">IF(U388&lt;&gt;"Closed","",IF($B388="Short",-1,1)*((N(M388)-H388)*N(L388)+(N(O388)-H388)*N(N388)+(Q388-H388)*Y388)-N(R388))</f>
        <v/>
      </c>
      <c r="AD388" s="25" t="str">
        <f aca="false">IF(OR(AC388="",N(Z388)=0),"",AC388/Z388)</f>
        <v/>
      </c>
      <c r="AE388" s="25" t="str">
        <f aca="false">IF(OR(S388="",N(Z388)=0),"",IF($B388="Short",-1,1)*(S388-H388)*G388/Z388)</f>
        <v/>
      </c>
      <c r="AF388" s="25" t="str">
        <f aca="false">IF(OR(T388="",N(Z388)=0),"",IF($B388="Short",-1,1)*(T388-H388)*G388/Z388)</f>
        <v/>
      </c>
      <c r="AG388" s="21" t="str">
        <f aca="false">IF(U388&lt;&gt;"Open","",Y388*MAX(0,IF($B388="Short",-1,1)*(H388-IF(K388="",I388,K388))))</f>
        <v/>
      </c>
      <c r="AH388" s="26" t="str">
        <f aca="false">IF(U388&lt;&gt;"Closed","",DATE(YEAR(P388),MONTH(P388),1))</f>
        <v/>
      </c>
      <c r="AI388" s="19" t="str">
        <f aca="false">IF(U388&lt;&gt;"Closed","",COUNTIFS($U$7:$U$506,"Closed",$P$7:$P$506,"&lt;"&amp;P388)+COUNTIFS($U$7:U388,"Closed",$P$7:P388,P388))</f>
        <v/>
      </c>
    </row>
    <row r="389" customFormat="false" ht="15" hidden="false" customHeight="false" outlineLevel="0" collapsed="false">
      <c r="A389" s="13"/>
      <c r="B389" s="14"/>
      <c r="C389" s="14"/>
      <c r="D389" s="14"/>
      <c r="E389" s="15"/>
      <c r="F389" s="15"/>
      <c r="G389" s="16"/>
      <c r="H389" s="17"/>
      <c r="I389" s="17"/>
      <c r="J389" s="17"/>
      <c r="K389" s="17"/>
      <c r="L389" s="16"/>
      <c r="M389" s="17"/>
      <c r="N389" s="16"/>
      <c r="O389" s="17"/>
      <c r="P389" s="15"/>
      <c r="Q389" s="17"/>
      <c r="R389" s="17"/>
      <c r="S389" s="17"/>
      <c r="T389" s="17"/>
      <c r="U389" s="18" t="str">
        <f aca="false">IF(A389="","",IF(N(G389)-N(L389)-N(N389)&lt;0,"Check shares",IF(AND(P389&lt;&gt;"",Q389&lt;&gt;""),"Closed","Open")))</f>
        <v/>
      </c>
      <c r="V389" s="19" t="str">
        <f aca="false">IF(OR(F389="",P389=""),"",NETWORKDAYS(F389,P389,Lists!$F$5:$F$40)-1)</f>
        <v/>
      </c>
      <c r="W389" s="18" t="str">
        <f aca="false">IF(V389="","",IF(V389=0,"Same day","Overnight"))</f>
        <v/>
      </c>
      <c r="X389" s="18" t="str">
        <f aca="false">IF(OR(E389="",F389=""),"",IF(AND(E389&gt;=F389,OR(P389="",E389&lt;=P389)),"Yes","No"))</f>
        <v/>
      </c>
      <c r="Y389" s="20" t="str">
        <f aca="false">IF(A389="","",N(G389)-N(L389)-N(N389))</f>
        <v/>
      </c>
      <c r="Z389" s="21" t="str">
        <f aca="false">IF(OR(G389="",H389="",I389=""),"",ABS(H389-I389)*G389)</f>
        <v/>
      </c>
      <c r="AA389" s="22" t="str">
        <f aca="false">IF(OR(J389="",N(Z389)=0),"",ABS(J389-H389)/ABS(H389-I389))</f>
        <v/>
      </c>
      <c r="AB389" s="23" t="str">
        <f aca="false">IF(U389&lt;&gt;"Closed","",(N(L389)*N(M389)+N(N389)*N(O389)+Y389*Q389)/G389)</f>
        <v/>
      </c>
      <c r="AC389" s="24" t="str">
        <f aca="false">IF(U389&lt;&gt;"Closed","",IF($B389="Short",-1,1)*((N(M389)-H389)*N(L389)+(N(O389)-H389)*N(N389)+(Q389-H389)*Y389)-N(R389))</f>
        <v/>
      </c>
      <c r="AD389" s="25" t="str">
        <f aca="false">IF(OR(AC389="",N(Z389)=0),"",AC389/Z389)</f>
        <v/>
      </c>
      <c r="AE389" s="25" t="str">
        <f aca="false">IF(OR(S389="",N(Z389)=0),"",IF($B389="Short",-1,1)*(S389-H389)*G389/Z389)</f>
        <v/>
      </c>
      <c r="AF389" s="25" t="str">
        <f aca="false">IF(OR(T389="",N(Z389)=0),"",IF($B389="Short",-1,1)*(T389-H389)*G389/Z389)</f>
        <v/>
      </c>
      <c r="AG389" s="21" t="str">
        <f aca="false">IF(U389&lt;&gt;"Open","",Y389*MAX(0,IF($B389="Short",-1,1)*(H389-IF(K389="",I389,K389))))</f>
        <v/>
      </c>
      <c r="AH389" s="26" t="str">
        <f aca="false">IF(U389&lt;&gt;"Closed","",DATE(YEAR(P389),MONTH(P389),1))</f>
        <v/>
      </c>
      <c r="AI389" s="19" t="str">
        <f aca="false">IF(U389&lt;&gt;"Closed","",COUNTIFS($U$7:$U$506,"Closed",$P$7:$P$506,"&lt;"&amp;P389)+COUNTIFS($U$7:U389,"Closed",$P$7:P389,P389))</f>
        <v/>
      </c>
    </row>
    <row r="390" customFormat="false" ht="15" hidden="false" customHeight="false" outlineLevel="0" collapsed="false">
      <c r="A390" s="13"/>
      <c r="B390" s="14"/>
      <c r="C390" s="14"/>
      <c r="D390" s="14"/>
      <c r="E390" s="15"/>
      <c r="F390" s="15"/>
      <c r="G390" s="16"/>
      <c r="H390" s="17"/>
      <c r="I390" s="17"/>
      <c r="J390" s="17"/>
      <c r="K390" s="17"/>
      <c r="L390" s="16"/>
      <c r="M390" s="17"/>
      <c r="N390" s="16"/>
      <c r="O390" s="17"/>
      <c r="P390" s="15"/>
      <c r="Q390" s="17"/>
      <c r="R390" s="17"/>
      <c r="S390" s="17"/>
      <c r="T390" s="17"/>
      <c r="U390" s="18" t="str">
        <f aca="false">IF(A390="","",IF(N(G390)-N(L390)-N(N390)&lt;0,"Check shares",IF(AND(P390&lt;&gt;"",Q390&lt;&gt;""),"Closed","Open")))</f>
        <v/>
      </c>
      <c r="V390" s="19" t="str">
        <f aca="false">IF(OR(F390="",P390=""),"",NETWORKDAYS(F390,P390,Lists!$F$5:$F$40)-1)</f>
        <v/>
      </c>
      <c r="W390" s="18" t="str">
        <f aca="false">IF(V390="","",IF(V390=0,"Same day","Overnight"))</f>
        <v/>
      </c>
      <c r="X390" s="18" t="str">
        <f aca="false">IF(OR(E390="",F390=""),"",IF(AND(E390&gt;=F390,OR(P390="",E390&lt;=P390)),"Yes","No"))</f>
        <v/>
      </c>
      <c r="Y390" s="20" t="str">
        <f aca="false">IF(A390="","",N(G390)-N(L390)-N(N390))</f>
        <v/>
      </c>
      <c r="Z390" s="21" t="str">
        <f aca="false">IF(OR(G390="",H390="",I390=""),"",ABS(H390-I390)*G390)</f>
        <v/>
      </c>
      <c r="AA390" s="22" t="str">
        <f aca="false">IF(OR(J390="",N(Z390)=0),"",ABS(J390-H390)/ABS(H390-I390))</f>
        <v/>
      </c>
      <c r="AB390" s="23" t="str">
        <f aca="false">IF(U390&lt;&gt;"Closed","",(N(L390)*N(M390)+N(N390)*N(O390)+Y390*Q390)/G390)</f>
        <v/>
      </c>
      <c r="AC390" s="24" t="str">
        <f aca="false">IF(U390&lt;&gt;"Closed","",IF($B390="Short",-1,1)*((N(M390)-H390)*N(L390)+(N(O390)-H390)*N(N390)+(Q390-H390)*Y390)-N(R390))</f>
        <v/>
      </c>
      <c r="AD390" s="25" t="str">
        <f aca="false">IF(OR(AC390="",N(Z390)=0),"",AC390/Z390)</f>
        <v/>
      </c>
      <c r="AE390" s="25" t="str">
        <f aca="false">IF(OR(S390="",N(Z390)=0),"",IF($B390="Short",-1,1)*(S390-H390)*G390/Z390)</f>
        <v/>
      </c>
      <c r="AF390" s="25" t="str">
        <f aca="false">IF(OR(T390="",N(Z390)=0),"",IF($B390="Short",-1,1)*(T390-H390)*G390/Z390)</f>
        <v/>
      </c>
      <c r="AG390" s="21" t="str">
        <f aca="false">IF(U390&lt;&gt;"Open","",Y390*MAX(0,IF($B390="Short",-1,1)*(H390-IF(K390="",I390,K390))))</f>
        <v/>
      </c>
      <c r="AH390" s="26" t="str">
        <f aca="false">IF(U390&lt;&gt;"Closed","",DATE(YEAR(P390),MONTH(P390),1))</f>
        <v/>
      </c>
      <c r="AI390" s="19" t="str">
        <f aca="false">IF(U390&lt;&gt;"Closed","",COUNTIFS($U$7:$U$506,"Closed",$P$7:$P$506,"&lt;"&amp;P390)+COUNTIFS($U$7:U390,"Closed",$P$7:P390,P390))</f>
        <v/>
      </c>
    </row>
    <row r="391" customFormat="false" ht="15" hidden="false" customHeight="false" outlineLevel="0" collapsed="false">
      <c r="A391" s="13"/>
      <c r="B391" s="14"/>
      <c r="C391" s="14"/>
      <c r="D391" s="14"/>
      <c r="E391" s="15"/>
      <c r="F391" s="15"/>
      <c r="G391" s="16"/>
      <c r="H391" s="17"/>
      <c r="I391" s="17"/>
      <c r="J391" s="17"/>
      <c r="K391" s="17"/>
      <c r="L391" s="16"/>
      <c r="M391" s="17"/>
      <c r="N391" s="16"/>
      <c r="O391" s="17"/>
      <c r="P391" s="15"/>
      <c r="Q391" s="17"/>
      <c r="R391" s="17"/>
      <c r="S391" s="17"/>
      <c r="T391" s="17"/>
      <c r="U391" s="18" t="str">
        <f aca="false">IF(A391="","",IF(N(G391)-N(L391)-N(N391)&lt;0,"Check shares",IF(AND(P391&lt;&gt;"",Q391&lt;&gt;""),"Closed","Open")))</f>
        <v/>
      </c>
      <c r="V391" s="19" t="str">
        <f aca="false">IF(OR(F391="",P391=""),"",NETWORKDAYS(F391,P391,Lists!$F$5:$F$40)-1)</f>
        <v/>
      </c>
      <c r="W391" s="18" t="str">
        <f aca="false">IF(V391="","",IF(V391=0,"Same day","Overnight"))</f>
        <v/>
      </c>
      <c r="X391" s="18" t="str">
        <f aca="false">IF(OR(E391="",F391=""),"",IF(AND(E391&gt;=F391,OR(P391="",E391&lt;=P391)),"Yes","No"))</f>
        <v/>
      </c>
      <c r="Y391" s="20" t="str">
        <f aca="false">IF(A391="","",N(G391)-N(L391)-N(N391))</f>
        <v/>
      </c>
      <c r="Z391" s="21" t="str">
        <f aca="false">IF(OR(G391="",H391="",I391=""),"",ABS(H391-I391)*G391)</f>
        <v/>
      </c>
      <c r="AA391" s="22" t="str">
        <f aca="false">IF(OR(J391="",N(Z391)=0),"",ABS(J391-H391)/ABS(H391-I391))</f>
        <v/>
      </c>
      <c r="AB391" s="23" t="str">
        <f aca="false">IF(U391&lt;&gt;"Closed","",(N(L391)*N(M391)+N(N391)*N(O391)+Y391*Q391)/G391)</f>
        <v/>
      </c>
      <c r="AC391" s="24" t="str">
        <f aca="false">IF(U391&lt;&gt;"Closed","",IF($B391="Short",-1,1)*((N(M391)-H391)*N(L391)+(N(O391)-H391)*N(N391)+(Q391-H391)*Y391)-N(R391))</f>
        <v/>
      </c>
      <c r="AD391" s="25" t="str">
        <f aca="false">IF(OR(AC391="",N(Z391)=0),"",AC391/Z391)</f>
        <v/>
      </c>
      <c r="AE391" s="25" t="str">
        <f aca="false">IF(OR(S391="",N(Z391)=0),"",IF($B391="Short",-1,1)*(S391-H391)*G391/Z391)</f>
        <v/>
      </c>
      <c r="AF391" s="25" t="str">
        <f aca="false">IF(OR(T391="",N(Z391)=0),"",IF($B391="Short",-1,1)*(T391-H391)*G391/Z391)</f>
        <v/>
      </c>
      <c r="AG391" s="21" t="str">
        <f aca="false">IF(U391&lt;&gt;"Open","",Y391*MAX(0,IF($B391="Short",-1,1)*(H391-IF(K391="",I391,K391))))</f>
        <v/>
      </c>
      <c r="AH391" s="26" t="str">
        <f aca="false">IF(U391&lt;&gt;"Closed","",DATE(YEAR(P391),MONTH(P391),1))</f>
        <v/>
      </c>
      <c r="AI391" s="19" t="str">
        <f aca="false">IF(U391&lt;&gt;"Closed","",COUNTIFS($U$7:$U$506,"Closed",$P$7:$P$506,"&lt;"&amp;P391)+COUNTIFS($U$7:U391,"Closed",$P$7:P391,P391))</f>
        <v/>
      </c>
    </row>
    <row r="392" customFormat="false" ht="15" hidden="false" customHeight="false" outlineLevel="0" collapsed="false">
      <c r="A392" s="13"/>
      <c r="B392" s="14"/>
      <c r="C392" s="14"/>
      <c r="D392" s="14"/>
      <c r="E392" s="15"/>
      <c r="F392" s="15"/>
      <c r="G392" s="16"/>
      <c r="H392" s="17"/>
      <c r="I392" s="17"/>
      <c r="J392" s="17"/>
      <c r="K392" s="17"/>
      <c r="L392" s="16"/>
      <c r="M392" s="17"/>
      <c r="N392" s="16"/>
      <c r="O392" s="17"/>
      <c r="P392" s="15"/>
      <c r="Q392" s="17"/>
      <c r="R392" s="17"/>
      <c r="S392" s="17"/>
      <c r="T392" s="17"/>
      <c r="U392" s="18" t="str">
        <f aca="false">IF(A392="","",IF(N(G392)-N(L392)-N(N392)&lt;0,"Check shares",IF(AND(P392&lt;&gt;"",Q392&lt;&gt;""),"Closed","Open")))</f>
        <v/>
      </c>
      <c r="V392" s="19" t="str">
        <f aca="false">IF(OR(F392="",P392=""),"",NETWORKDAYS(F392,P392,Lists!$F$5:$F$40)-1)</f>
        <v/>
      </c>
      <c r="W392" s="18" t="str">
        <f aca="false">IF(V392="","",IF(V392=0,"Same day","Overnight"))</f>
        <v/>
      </c>
      <c r="X392" s="18" t="str">
        <f aca="false">IF(OR(E392="",F392=""),"",IF(AND(E392&gt;=F392,OR(P392="",E392&lt;=P392)),"Yes","No"))</f>
        <v/>
      </c>
      <c r="Y392" s="20" t="str">
        <f aca="false">IF(A392="","",N(G392)-N(L392)-N(N392))</f>
        <v/>
      </c>
      <c r="Z392" s="21" t="str">
        <f aca="false">IF(OR(G392="",H392="",I392=""),"",ABS(H392-I392)*G392)</f>
        <v/>
      </c>
      <c r="AA392" s="22" t="str">
        <f aca="false">IF(OR(J392="",N(Z392)=0),"",ABS(J392-H392)/ABS(H392-I392))</f>
        <v/>
      </c>
      <c r="AB392" s="23" t="str">
        <f aca="false">IF(U392&lt;&gt;"Closed","",(N(L392)*N(M392)+N(N392)*N(O392)+Y392*Q392)/G392)</f>
        <v/>
      </c>
      <c r="AC392" s="24" t="str">
        <f aca="false">IF(U392&lt;&gt;"Closed","",IF($B392="Short",-1,1)*((N(M392)-H392)*N(L392)+(N(O392)-H392)*N(N392)+(Q392-H392)*Y392)-N(R392))</f>
        <v/>
      </c>
      <c r="AD392" s="25" t="str">
        <f aca="false">IF(OR(AC392="",N(Z392)=0),"",AC392/Z392)</f>
        <v/>
      </c>
      <c r="AE392" s="25" t="str">
        <f aca="false">IF(OR(S392="",N(Z392)=0),"",IF($B392="Short",-1,1)*(S392-H392)*G392/Z392)</f>
        <v/>
      </c>
      <c r="AF392" s="25" t="str">
        <f aca="false">IF(OR(T392="",N(Z392)=0),"",IF($B392="Short",-1,1)*(T392-H392)*G392/Z392)</f>
        <v/>
      </c>
      <c r="AG392" s="21" t="str">
        <f aca="false">IF(U392&lt;&gt;"Open","",Y392*MAX(0,IF($B392="Short",-1,1)*(H392-IF(K392="",I392,K392))))</f>
        <v/>
      </c>
      <c r="AH392" s="26" t="str">
        <f aca="false">IF(U392&lt;&gt;"Closed","",DATE(YEAR(P392),MONTH(P392),1))</f>
        <v/>
      </c>
      <c r="AI392" s="19" t="str">
        <f aca="false">IF(U392&lt;&gt;"Closed","",COUNTIFS($U$7:$U$506,"Closed",$P$7:$P$506,"&lt;"&amp;P392)+COUNTIFS($U$7:U392,"Closed",$P$7:P392,P392))</f>
        <v/>
      </c>
    </row>
    <row r="393" customFormat="false" ht="15" hidden="false" customHeight="false" outlineLevel="0" collapsed="false">
      <c r="A393" s="13"/>
      <c r="B393" s="14"/>
      <c r="C393" s="14"/>
      <c r="D393" s="14"/>
      <c r="E393" s="15"/>
      <c r="F393" s="15"/>
      <c r="G393" s="16"/>
      <c r="H393" s="17"/>
      <c r="I393" s="17"/>
      <c r="J393" s="17"/>
      <c r="K393" s="17"/>
      <c r="L393" s="16"/>
      <c r="M393" s="17"/>
      <c r="N393" s="16"/>
      <c r="O393" s="17"/>
      <c r="P393" s="15"/>
      <c r="Q393" s="17"/>
      <c r="R393" s="17"/>
      <c r="S393" s="17"/>
      <c r="T393" s="17"/>
      <c r="U393" s="18" t="str">
        <f aca="false">IF(A393="","",IF(N(G393)-N(L393)-N(N393)&lt;0,"Check shares",IF(AND(P393&lt;&gt;"",Q393&lt;&gt;""),"Closed","Open")))</f>
        <v/>
      </c>
      <c r="V393" s="19" t="str">
        <f aca="false">IF(OR(F393="",P393=""),"",NETWORKDAYS(F393,P393,Lists!$F$5:$F$40)-1)</f>
        <v/>
      </c>
      <c r="W393" s="18" t="str">
        <f aca="false">IF(V393="","",IF(V393=0,"Same day","Overnight"))</f>
        <v/>
      </c>
      <c r="X393" s="18" t="str">
        <f aca="false">IF(OR(E393="",F393=""),"",IF(AND(E393&gt;=F393,OR(P393="",E393&lt;=P393)),"Yes","No"))</f>
        <v/>
      </c>
      <c r="Y393" s="20" t="str">
        <f aca="false">IF(A393="","",N(G393)-N(L393)-N(N393))</f>
        <v/>
      </c>
      <c r="Z393" s="21" t="str">
        <f aca="false">IF(OR(G393="",H393="",I393=""),"",ABS(H393-I393)*G393)</f>
        <v/>
      </c>
      <c r="AA393" s="22" t="str">
        <f aca="false">IF(OR(J393="",N(Z393)=0),"",ABS(J393-H393)/ABS(H393-I393))</f>
        <v/>
      </c>
      <c r="AB393" s="23" t="str">
        <f aca="false">IF(U393&lt;&gt;"Closed","",(N(L393)*N(M393)+N(N393)*N(O393)+Y393*Q393)/G393)</f>
        <v/>
      </c>
      <c r="AC393" s="24" t="str">
        <f aca="false">IF(U393&lt;&gt;"Closed","",IF($B393="Short",-1,1)*((N(M393)-H393)*N(L393)+(N(O393)-H393)*N(N393)+(Q393-H393)*Y393)-N(R393))</f>
        <v/>
      </c>
      <c r="AD393" s="25" t="str">
        <f aca="false">IF(OR(AC393="",N(Z393)=0),"",AC393/Z393)</f>
        <v/>
      </c>
      <c r="AE393" s="25" t="str">
        <f aca="false">IF(OR(S393="",N(Z393)=0),"",IF($B393="Short",-1,1)*(S393-H393)*G393/Z393)</f>
        <v/>
      </c>
      <c r="AF393" s="25" t="str">
        <f aca="false">IF(OR(T393="",N(Z393)=0),"",IF($B393="Short",-1,1)*(T393-H393)*G393/Z393)</f>
        <v/>
      </c>
      <c r="AG393" s="21" t="str">
        <f aca="false">IF(U393&lt;&gt;"Open","",Y393*MAX(0,IF($B393="Short",-1,1)*(H393-IF(K393="",I393,K393))))</f>
        <v/>
      </c>
      <c r="AH393" s="26" t="str">
        <f aca="false">IF(U393&lt;&gt;"Closed","",DATE(YEAR(P393),MONTH(P393),1))</f>
        <v/>
      </c>
      <c r="AI393" s="19" t="str">
        <f aca="false">IF(U393&lt;&gt;"Closed","",COUNTIFS($U$7:$U$506,"Closed",$P$7:$P$506,"&lt;"&amp;P393)+COUNTIFS($U$7:U393,"Closed",$P$7:P393,P393))</f>
        <v/>
      </c>
    </row>
    <row r="394" customFormat="false" ht="15" hidden="false" customHeight="false" outlineLevel="0" collapsed="false">
      <c r="A394" s="13"/>
      <c r="B394" s="14"/>
      <c r="C394" s="14"/>
      <c r="D394" s="14"/>
      <c r="E394" s="15"/>
      <c r="F394" s="15"/>
      <c r="G394" s="16"/>
      <c r="H394" s="17"/>
      <c r="I394" s="17"/>
      <c r="J394" s="17"/>
      <c r="K394" s="17"/>
      <c r="L394" s="16"/>
      <c r="M394" s="17"/>
      <c r="N394" s="16"/>
      <c r="O394" s="17"/>
      <c r="P394" s="15"/>
      <c r="Q394" s="17"/>
      <c r="R394" s="17"/>
      <c r="S394" s="17"/>
      <c r="T394" s="17"/>
      <c r="U394" s="18" t="str">
        <f aca="false">IF(A394="","",IF(N(G394)-N(L394)-N(N394)&lt;0,"Check shares",IF(AND(P394&lt;&gt;"",Q394&lt;&gt;""),"Closed","Open")))</f>
        <v/>
      </c>
      <c r="V394" s="19" t="str">
        <f aca="false">IF(OR(F394="",P394=""),"",NETWORKDAYS(F394,P394,Lists!$F$5:$F$40)-1)</f>
        <v/>
      </c>
      <c r="W394" s="18" t="str">
        <f aca="false">IF(V394="","",IF(V394=0,"Same day","Overnight"))</f>
        <v/>
      </c>
      <c r="X394" s="18" t="str">
        <f aca="false">IF(OR(E394="",F394=""),"",IF(AND(E394&gt;=F394,OR(P394="",E394&lt;=P394)),"Yes","No"))</f>
        <v/>
      </c>
      <c r="Y394" s="20" t="str">
        <f aca="false">IF(A394="","",N(G394)-N(L394)-N(N394))</f>
        <v/>
      </c>
      <c r="Z394" s="21" t="str">
        <f aca="false">IF(OR(G394="",H394="",I394=""),"",ABS(H394-I394)*G394)</f>
        <v/>
      </c>
      <c r="AA394" s="22" t="str">
        <f aca="false">IF(OR(J394="",N(Z394)=0),"",ABS(J394-H394)/ABS(H394-I394))</f>
        <v/>
      </c>
      <c r="AB394" s="23" t="str">
        <f aca="false">IF(U394&lt;&gt;"Closed","",(N(L394)*N(M394)+N(N394)*N(O394)+Y394*Q394)/G394)</f>
        <v/>
      </c>
      <c r="AC394" s="24" t="str">
        <f aca="false">IF(U394&lt;&gt;"Closed","",IF($B394="Short",-1,1)*((N(M394)-H394)*N(L394)+(N(O394)-H394)*N(N394)+(Q394-H394)*Y394)-N(R394))</f>
        <v/>
      </c>
      <c r="AD394" s="25" t="str">
        <f aca="false">IF(OR(AC394="",N(Z394)=0),"",AC394/Z394)</f>
        <v/>
      </c>
      <c r="AE394" s="25" t="str">
        <f aca="false">IF(OR(S394="",N(Z394)=0),"",IF($B394="Short",-1,1)*(S394-H394)*G394/Z394)</f>
        <v/>
      </c>
      <c r="AF394" s="25" t="str">
        <f aca="false">IF(OR(T394="",N(Z394)=0),"",IF($B394="Short",-1,1)*(T394-H394)*G394/Z394)</f>
        <v/>
      </c>
      <c r="AG394" s="21" t="str">
        <f aca="false">IF(U394&lt;&gt;"Open","",Y394*MAX(0,IF($B394="Short",-1,1)*(H394-IF(K394="",I394,K394))))</f>
        <v/>
      </c>
      <c r="AH394" s="26" t="str">
        <f aca="false">IF(U394&lt;&gt;"Closed","",DATE(YEAR(P394),MONTH(P394),1))</f>
        <v/>
      </c>
      <c r="AI394" s="19" t="str">
        <f aca="false">IF(U394&lt;&gt;"Closed","",COUNTIFS($U$7:$U$506,"Closed",$P$7:$P$506,"&lt;"&amp;P394)+COUNTIFS($U$7:U394,"Closed",$P$7:P394,P394))</f>
        <v/>
      </c>
    </row>
    <row r="395" customFormat="false" ht="15" hidden="false" customHeight="false" outlineLevel="0" collapsed="false">
      <c r="A395" s="13"/>
      <c r="B395" s="14"/>
      <c r="C395" s="14"/>
      <c r="D395" s="14"/>
      <c r="E395" s="15"/>
      <c r="F395" s="15"/>
      <c r="G395" s="16"/>
      <c r="H395" s="17"/>
      <c r="I395" s="17"/>
      <c r="J395" s="17"/>
      <c r="K395" s="17"/>
      <c r="L395" s="16"/>
      <c r="M395" s="17"/>
      <c r="N395" s="16"/>
      <c r="O395" s="17"/>
      <c r="P395" s="15"/>
      <c r="Q395" s="17"/>
      <c r="R395" s="17"/>
      <c r="S395" s="17"/>
      <c r="T395" s="17"/>
      <c r="U395" s="18" t="str">
        <f aca="false">IF(A395="","",IF(N(G395)-N(L395)-N(N395)&lt;0,"Check shares",IF(AND(P395&lt;&gt;"",Q395&lt;&gt;""),"Closed","Open")))</f>
        <v/>
      </c>
      <c r="V395" s="19" t="str">
        <f aca="false">IF(OR(F395="",P395=""),"",NETWORKDAYS(F395,P395,Lists!$F$5:$F$40)-1)</f>
        <v/>
      </c>
      <c r="W395" s="18" t="str">
        <f aca="false">IF(V395="","",IF(V395=0,"Same day","Overnight"))</f>
        <v/>
      </c>
      <c r="X395" s="18" t="str">
        <f aca="false">IF(OR(E395="",F395=""),"",IF(AND(E395&gt;=F395,OR(P395="",E395&lt;=P395)),"Yes","No"))</f>
        <v/>
      </c>
      <c r="Y395" s="20" t="str">
        <f aca="false">IF(A395="","",N(G395)-N(L395)-N(N395))</f>
        <v/>
      </c>
      <c r="Z395" s="21" t="str">
        <f aca="false">IF(OR(G395="",H395="",I395=""),"",ABS(H395-I395)*G395)</f>
        <v/>
      </c>
      <c r="AA395" s="22" t="str">
        <f aca="false">IF(OR(J395="",N(Z395)=0),"",ABS(J395-H395)/ABS(H395-I395))</f>
        <v/>
      </c>
      <c r="AB395" s="23" t="str">
        <f aca="false">IF(U395&lt;&gt;"Closed","",(N(L395)*N(M395)+N(N395)*N(O395)+Y395*Q395)/G395)</f>
        <v/>
      </c>
      <c r="AC395" s="24" t="str">
        <f aca="false">IF(U395&lt;&gt;"Closed","",IF($B395="Short",-1,1)*((N(M395)-H395)*N(L395)+(N(O395)-H395)*N(N395)+(Q395-H395)*Y395)-N(R395))</f>
        <v/>
      </c>
      <c r="AD395" s="25" t="str">
        <f aca="false">IF(OR(AC395="",N(Z395)=0),"",AC395/Z395)</f>
        <v/>
      </c>
      <c r="AE395" s="25" t="str">
        <f aca="false">IF(OR(S395="",N(Z395)=0),"",IF($B395="Short",-1,1)*(S395-H395)*G395/Z395)</f>
        <v/>
      </c>
      <c r="AF395" s="25" t="str">
        <f aca="false">IF(OR(T395="",N(Z395)=0),"",IF($B395="Short",-1,1)*(T395-H395)*G395/Z395)</f>
        <v/>
      </c>
      <c r="AG395" s="21" t="str">
        <f aca="false">IF(U395&lt;&gt;"Open","",Y395*MAX(0,IF($B395="Short",-1,1)*(H395-IF(K395="",I395,K395))))</f>
        <v/>
      </c>
      <c r="AH395" s="26" t="str">
        <f aca="false">IF(U395&lt;&gt;"Closed","",DATE(YEAR(P395),MONTH(P395),1))</f>
        <v/>
      </c>
      <c r="AI395" s="19" t="str">
        <f aca="false">IF(U395&lt;&gt;"Closed","",COUNTIFS($U$7:$U$506,"Closed",$P$7:$P$506,"&lt;"&amp;P395)+COUNTIFS($U$7:U395,"Closed",$P$7:P395,P395))</f>
        <v/>
      </c>
    </row>
    <row r="396" customFormat="false" ht="15" hidden="false" customHeight="false" outlineLevel="0" collapsed="false">
      <c r="A396" s="13"/>
      <c r="B396" s="14"/>
      <c r="C396" s="14"/>
      <c r="D396" s="14"/>
      <c r="E396" s="15"/>
      <c r="F396" s="15"/>
      <c r="G396" s="16"/>
      <c r="H396" s="17"/>
      <c r="I396" s="17"/>
      <c r="J396" s="17"/>
      <c r="K396" s="17"/>
      <c r="L396" s="16"/>
      <c r="M396" s="17"/>
      <c r="N396" s="16"/>
      <c r="O396" s="17"/>
      <c r="P396" s="15"/>
      <c r="Q396" s="17"/>
      <c r="R396" s="17"/>
      <c r="S396" s="17"/>
      <c r="T396" s="17"/>
      <c r="U396" s="18" t="str">
        <f aca="false">IF(A396="","",IF(N(G396)-N(L396)-N(N396)&lt;0,"Check shares",IF(AND(P396&lt;&gt;"",Q396&lt;&gt;""),"Closed","Open")))</f>
        <v/>
      </c>
      <c r="V396" s="19" t="str">
        <f aca="false">IF(OR(F396="",P396=""),"",NETWORKDAYS(F396,P396,Lists!$F$5:$F$40)-1)</f>
        <v/>
      </c>
      <c r="W396" s="18" t="str">
        <f aca="false">IF(V396="","",IF(V396=0,"Same day","Overnight"))</f>
        <v/>
      </c>
      <c r="X396" s="18" t="str">
        <f aca="false">IF(OR(E396="",F396=""),"",IF(AND(E396&gt;=F396,OR(P396="",E396&lt;=P396)),"Yes","No"))</f>
        <v/>
      </c>
      <c r="Y396" s="20" t="str">
        <f aca="false">IF(A396="","",N(G396)-N(L396)-N(N396))</f>
        <v/>
      </c>
      <c r="Z396" s="21" t="str">
        <f aca="false">IF(OR(G396="",H396="",I396=""),"",ABS(H396-I396)*G396)</f>
        <v/>
      </c>
      <c r="AA396" s="22" t="str">
        <f aca="false">IF(OR(J396="",N(Z396)=0),"",ABS(J396-H396)/ABS(H396-I396))</f>
        <v/>
      </c>
      <c r="AB396" s="23" t="str">
        <f aca="false">IF(U396&lt;&gt;"Closed","",(N(L396)*N(M396)+N(N396)*N(O396)+Y396*Q396)/G396)</f>
        <v/>
      </c>
      <c r="AC396" s="24" t="str">
        <f aca="false">IF(U396&lt;&gt;"Closed","",IF($B396="Short",-1,1)*((N(M396)-H396)*N(L396)+(N(O396)-H396)*N(N396)+(Q396-H396)*Y396)-N(R396))</f>
        <v/>
      </c>
      <c r="AD396" s="25" t="str">
        <f aca="false">IF(OR(AC396="",N(Z396)=0),"",AC396/Z396)</f>
        <v/>
      </c>
      <c r="AE396" s="25" t="str">
        <f aca="false">IF(OR(S396="",N(Z396)=0),"",IF($B396="Short",-1,1)*(S396-H396)*G396/Z396)</f>
        <v/>
      </c>
      <c r="AF396" s="25" t="str">
        <f aca="false">IF(OR(T396="",N(Z396)=0),"",IF($B396="Short",-1,1)*(T396-H396)*G396/Z396)</f>
        <v/>
      </c>
      <c r="AG396" s="21" t="str">
        <f aca="false">IF(U396&lt;&gt;"Open","",Y396*MAX(0,IF($B396="Short",-1,1)*(H396-IF(K396="",I396,K396))))</f>
        <v/>
      </c>
      <c r="AH396" s="26" t="str">
        <f aca="false">IF(U396&lt;&gt;"Closed","",DATE(YEAR(P396),MONTH(P396),1))</f>
        <v/>
      </c>
      <c r="AI396" s="19" t="str">
        <f aca="false">IF(U396&lt;&gt;"Closed","",COUNTIFS($U$7:$U$506,"Closed",$P$7:$P$506,"&lt;"&amp;P396)+COUNTIFS($U$7:U396,"Closed",$P$7:P396,P396))</f>
        <v/>
      </c>
    </row>
    <row r="397" customFormat="false" ht="15" hidden="false" customHeight="false" outlineLevel="0" collapsed="false">
      <c r="A397" s="13"/>
      <c r="B397" s="14"/>
      <c r="C397" s="14"/>
      <c r="D397" s="14"/>
      <c r="E397" s="15"/>
      <c r="F397" s="15"/>
      <c r="G397" s="16"/>
      <c r="H397" s="17"/>
      <c r="I397" s="17"/>
      <c r="J397" s="17"/>
      <c r="K397" s="17"/>
      <c r="L397" s="16"/>
      <c r="M397" s="17"/>
      <c r="N397" s="16"/>
      <c r="O397" s="17"/>
      <c r="P397" s="15"/>
      <c r="Q397" s="17"/>
      <c r="R397" s="17"/>
      <c r="S397" s="17"/>
      <c r="T397" s="17"/>
      <c r="U397" s="18" t="str">
        <f aca="false">IF(A397="","",IF(N(G397)-N(L397)-N(N397)&lt;0,"Check shares",IF(AND(P397&lt;&gt;"",Q397&lt;&gt;""),"Closed","Open")))</f>
        <v/>
      </c>
      <c r="V397" s="19" t="str">
        <f aca="false">IF(OR(F397="",P397=""),"",NETWORKDAYS(F397,P397,Lists!$F$5:$F$40)-1)</f>
        <v/>
      </c>
      <c r="W397" s="18" t="str">
        <f aca="false">IF(V397="","",IF(V397=0,"Same day","Overnight"))</f>
        <v/>
      </c>
      <c r="X397" s="18" t="str">
        <f aca="false">IF(OR(E397="",F397=""),"",IF(AND(E397&gt;=F397,OR(P397="",E397&lt;=P397)),"Yes","No"))</f>
        <v/>
      </c>
      <c r="Y397" s="20" t="str">
        <f aca="false">IF(A397="","",N(G397)-N(L397)-N(N397))</f>
        <v/>
      </c>
      <c r="Z397" s="21" t="str">
        <f aca="false">IF(OR(G397="",H397="",I397=""),"",ABS(H397-I397)*G397)</f>
        <v/>
      </c>
      <c r="AA397" s="22" t="str">
        <f aca="false">IF(OR(J397="",N(Z397)=0),"",ABS(J397-H397)/ABS(H397-I397))</f>
        <v/>
      </c>
      <c r="AB397" s="23" t="str">
        <f aca="false">IF(U397&lt;&gt;"Closed","",(N(L397)*N(M397)+N(N397)*N(O397)+Y397*Q397)/G397)</f>
        <v/>
      </c>
      <c r="AC397" s="24" t="str">
        <f aca="false">IF(U397&lt;&gt;"Closed","",IF($B397="Short",-1,1)*((N(M397)-H397)*N(L397)+(N(O397)-H397)*N(N397)+(Q397-H397)*Y397)-N(R397))</f>
        <v/>
      </c>
      <c r="AD397" s="25" t="str">
        <f aca="false">IF(OR(AC397="",N(Z397)=0),"",AC397/Z397)</f>
        <v/>
      </c>
      <c r="AE397" s="25" t="str">
        <f aca="false">IF(OR(S397="",N(Z397)=0),"",IF($B397="Short",-1,1)*(S397-H397)*G397/Z397)</f>
        <v/>
      </c>
      <c r="AF397" s="25" t="str">
        <f aca="false">IF(OR(T397="",N(Z397)=0),"",IF($B397="Short",-1,1)*(T397-H397)*G397/Z397)</f>
        <v/>
      </c>
      <c r="AG397" s="21" t="str">
        <f aca="false">IF(U397&lt;&gt;"Open","",Y397*MAX(0,IF($B397="Short",-1,1)*(H397-IF(K397="",I397,K397))))</f>
        <v/>
      </c>
      <c r="AH397" s="26" t="str">
        <f aca="false">IF(U397&lt;&gt;"Closed","",DATE(YEAR(P397),MONTH(P397),1))</f>
        <v/>
      </c>
      <c r="AI397" s="19" t="str">
        <f aca="false">IF(U397&lt;&gt;"Closed","",COUNTIFS($U$7:$U$506,"Closed",$P$7:$P$506,"&lt;"&amp;P397)+COUNTIFS($U$7:U397,"Closed",$P$7:P397,P397))</f>
        <v/>
      </c>
    </row>
    <row r="398" customFormat="false" ht="15" hidden="false" customHeight="false" outlineLevel="0" collapsed="false">
      <c r="A398" s="13"/>
      <c r="B398" s="14"/>
      <c r="C398" s="14"/>
      <c r="D398" s="14"/>
      <c r="E398" s="15"/>
      <c r="F398" s="15"/>
      <c r="G398" s="16"/>
      <c r="H398" s="17"/>
      <c r="I398" s="17"/>
      <c r="J398" s="17"/>
      <c r="K398" s="17"/>
      <c r="L398" s="16"/>
      <c r="M398" s="17"/>
      <c r="N398" s="16"/>
      <c r="O398" s="17"/>
      <c r="P398" s="15"/>
      <c r="Q398" s="17"/>
      <c r="R398" s="17"/>
      <c r="S398" s="17"/>
      <c r="T398" s="17"/>
      <c r="U398" s="18" t="str">
        <f aca="false">IF(A398="","",IF(N(G398)-N(L398)-N(N398)&lt;0,"Check shares",IF(AND(P398&lt;&gt;"",Q398&lt;&gt;""),"Closed","Open")))</f>
        <v/>
      </c>
      <c r="V398" s="19" t="str">
        <f aca="false">IF(OR(F398="",P398=""),"",NETWORKDAYS(F398,P398,Lists!$F$5:$F$40)-1)</f>
        <v/>
      </c>
      <c r="W398" s="18" t="str">
        <f aca="false">IF(V398="","",IF(V398=0,"Same day","Overnight"))</f>
        <v/>
      </c>
      <c r="X398" s="18" t="str">
        <f aca="false">IF(OR(E398="",F398=""),"",IF(AND(E398&gt;=F398,OR(P398="",E398&lt;=P398)),"Yes","No"))</f>
        <v/>
      </c>
      <c r="Y398" s="20" t="str">
        <f aca="false">IF(A398="","",N(G398)-N(L398)-N(N398))</f>
        <v/>
      </c>
      <c r="Z398" s="21" t="str">
        <f aca="false">IF(OR(G398="",H398="",I398=""),"",ABS(H398-I398)*G398)</f>
        <v/>
      </c>
      <c r="AA398" s="22" t="str">
        <f aca="false">IF(OR(J398="",N(Z398)=0),"",ABS(J398-H398)/ABS(H398-I398))</f>
        <v/>
      </c>
      <c r="AB398" s="23" t="str">
        <f aca="false">IF(U398&lt;&gt;"Closed","",(N(L398)*N(M398)+N(N398)*N(O398)+Y398*Q398)/G398)</f>
        <v/>
      </c>
      <c r="AC398" s="24" t="str">
        <f aca="false">IF(U398&lt;&gt;"Closed","",IF($B398="Short",-1,1)*((N(M398)-H398)*N(L398)+(N(O398)-H398)*N(N398)+(Q398-H398)*Y398)-N(R398))</f>
        <v/>
      </c>
      <c r="AD398" s="25" t="str">
        <f aca="false">IF(OR(AC398="",N(Z398)=0),"",AC398/Z398)</f>
        <v/>
      </c>
      <c r="AE398" s="25" t="str">
        <f aca="false">IF(OR(S398="",N(Z398)=0),"",IF($B398="Short",-1,1)*(S398-H398)*G398/Z398)</f>
        <v/>
      </c>
      <c r="AF398" s="25" t="str">
        <f aca="false">IF(OR(T398="",N(Z398)=0),"",IF($B398="Short",-1,1)*(T398-H398)*G398/Z398)</f>
        <v/>
      </c>
      <c r="AG398" s="21" t="str">
        <f aca="false">IF(U398&lt;&gt;"Open","",Y398*MAX(0,IF($B398="Short",-1,1)*(H398-IF(K398="",I398,K398))))</f>
        <v/>
      </c>
      <c r="AH398" s="26" t="str">
        <f aca="false">IF(U398&lt;&gt;"Closed","",DATE(YEAR(P398),MONTH(P398),1))</f>
        <v/>
      </c>
      <c r="AI398" s="19" t="str">
        <f aca="false">IF(U398&lt;&gt;"Closed","",COUNTIFS($U$7:$U$506,"Closed",$P$7:$P$506,"&lt;"&amp;P398)+COUNTIFS($U$7:U398,"Closed",$P$7:P398,P398))</f>
        <v/>
      </c>
    </row>
    <row r="399" customFormat="false" ht="15" hidden="false" customHeight="false" outlineLevel="0" collapsed="false">
      <c r="A399" s="13"/>
      <c r="B399" s="14"/>
      <c r="C399" s="14"/>
      <c r="D399" s="14"/>
      <c r="E399" s="15"/>
      <c r="F399" s="15"/>
      <c r="G399" s="16"/>
      <c r="H399" s="17"/>
      <c r="I399" s="17"/>
      <c r="J399" s="17"/>
      <c r="K399" s="17"/>
      <c r="L399" s="16"/>
      <c r="M399" s="17"/>
      <c r="N399" s="16"/>
      <c r="O399" s="17"/>
      <c r="P399" s="15"/>
      <c r="Q399" s="17"/>
      <c r="R399" s="17"/>
      <c r="S399" s="17"/>
      <c r="T399" s="17"/>
      <c r="U399" s="18" t="str">
        <f aca="false">IF(A399="","",IF(N(G399)-N(L399)-N(N399)&lt;0,"Check shares",IF(AND(P399&lt;&gt;"",Q399&lt;&gt;""),"Closed","Open")))</f>
        <v/>
      </c>
      <c r="V399" s="19" t="str">
        <f aca="false">IF(OR(F399="",P399=""),"",NETWORKDAYS(F399,P399,Lists!$F$5:$F$40)-1)</f>
        <v/>
      </c>
      <c r="W399" s="18" t="str">
        <f aca="false">IF(V399="","",IF(V399=0,"Same day","Overnight"))</f>
        <v/>
      </c>
      <c r="X399" s="18" t="str">
        <f aca="false">IF(OR(E399="",F399=""),"",IF(AND(E399&gt;=F399,OR(P399="",E399&lt;=P399)),"Yes","No"))</f>
        <v/>
      </c>
      <c r="Y399" s="20" t="str">
        <f aca="false">IF(A399="","",N(G399)-N(L399)-N(N399))</f>
        <v/>
      </c>
      <c r="Z399" s="21" t="str">
        <f aca="false">IF(OR(G399="",H399="",I399=""),"",ABS(H399-I399)*G399)</f>
        <v/>
      </c>
      <c r="AA399" s="22" t="str">
        <f aca="false">IF(OR(J399="",N(Z399)=0),"",ABS(J399-H399)/ABS(H399-I399))</f>
        <v/>
      </c>
      <c r="AB399" s="23" t="str">
        <f aca="false">IF(U399&lt;&gt;"Closed","",(N(L399)*N(M399)+N(N399)*N(O399)+Y399*Q399)/G399)</f>
        <v/>
      </c>
      <c r="AC399" s="24" t="str">
        <f aca="false">IF(U399&lt;&gt;"Closed","",IF($B399="Short",-1,1)*((N(M399)-H399)*N(L399)+(N(O399)-H399)*N(N399)+(Q399-H399)*Y399)-N(R399))</f>
        <v/>
      </c>
      <c r="AD399" s="25" t="str">
        <f aca="false">IF(OR(AC399="",N(Z399)=0),"",AC399/Z399)</f>
        <v/>
      </c>
      <c r="AE399" s="25" t="str">
        <f aca="false">IF(OR(S399="",N(Z399)=0),"",IF($B399="Short",-1,1)*(S399-H399)*G399/Z399)</f>
        <v/>
      </c>
      <c r="AF399" s="25" t="str">
        <f aca="false">IF(OR(T399="",N(Z399)=0),"",IF($B399="Short",-1,1)*(T399-H399)*G399/Z399)</f>
        <v/>
      </c>
      <c r="AG399" s="21" t="str">
        <f aca="false">IF(U399&lt;&gt;"Open","",Y399*MAX(0,IF($B399="Short",-1,1)*(H399-IF(K399="",I399,K399))))</f>
        <v/>
      </c>
      <c r="AH399" s="26" t="str">
        <f aca="false">IF(U399&lt;&gt;"Closed","",DATE(YEAR(P399),MONTH(P399),1))</f>
        <v/>
      </c>
      <c r="AI399" s="19" t="str">
        <f aca="false">IF(U399&lt;&gt;"Closed","",COUNTIFS($U$7:$U$506,"Closed",$P$7:$P$506,"&lt;"&amp;P399)+COUNTIFS($U$7:U399,"Closed",$P$7:P399,P399))</f>
        <v/>
      </c>
    </row>
    <row r="400" customFormat="false" ht="15" hidden="false" customHeight="false" outlineLevel="0" collapsed="false">
      <c r="A400" s="13"/>
      <c r="B400" s="14"/>
      <c r="C400" s="14"/>
      <c r="D400" s="14"/>
      <c r="E400" s="15"/>
      <c r="F400" s="15"/>
      <c r="G400" s="16"/>
      <c r="H400" s="17"/>
      <c r="I400" s="17"/>
      <c r="J400" s="17"/>
      <c r="K400" s="17"/>
      <c r="L400" s="16"/>
      <c r="M400" s="17"/>
      <c r="N400" s="16"/>
      <c r="O400" s="17"/>
      <c r="P400" s="15"/>
      <c r="Q400" s="17"/>
      <c r="R400" s="17"/>
      <c r="S400" s="17"/>
      <c r="T400" s="17"/>
      <c r="U400" s="18" t="str">
        <f aca="false">IF(A400="","",IF(N(G400)-N(L400)-N(N400)&lt;0,"Check shares",IF(AND(P400&lt;&gt;"",Q400&lt;&gt;""),"Closed","Open")))</f>
        <v/>
      </c>
      <c r="V400" s="19" t="str">
        <f aca="false">IF(OR(F400="",P400=""),"",NETWORKDAYS(F400,P400,Lists!$F$5:$F$40)-1)</f>
        <v/>
      </c>
      <c r="W400" s="18" t="str">
        <f aca="false">IF(V400="","",IF(V400=0,"Same day","Overnight"))</f>
        <v/>
      </c>
      <c r="X400" s="18" t="str">
        <f aca="false">IF(OR(E400="",F400=""),"",IF(AND(E400&gt;=F400,OR(P400="",E400&lt;=P400)),"Yes","No"))</f>
        <v/>
      </c>
      <c r="Y400" s="20" t="str">
        <f aca="false">IF(A400="","",N(G400)-N(L400)-N(N400))</f>
        <v/>
      </c>
      <c r="Z400" s="21" t="str">
        <f aca="false">IF(OR(G400="",H400="",I400=""),"",ABS(H400-I400)*G400)</f>
        <v/>
      </c>
      <c r="AA400" s="22" t="str">
        <f aca="false">IF(OR(J400="",N(Z400)=0),"",ABS(J400-H400)/ABS(H400-I400))</f>
        <v/>
      </c>
      <c r="AB400" s="23" t="str">
        <f aca="false">IF(U400&lt;&gt;"Closed","",(N(L400)*N(M400)+N(N400)*N(O400)+Y400*Q400)/G400)</f>
        <v/>
      </c>
      <c r="AC400" s="24" t="str">
        <f aca="false">IF(U400&lt;&gt;"Closed","",IF($B400="Short",-1,1)*((N(M400)-H400)*N(L400)+(N(O400)-H400)*N(N400)+(Q400-H400)*Y400)-N(R400))</f>
        <v/>
      </c>
      <c r="AD400" s="25" t="str">
        <f aca="false">IF(OR(AC400="",N(Z400)=0),"",AC400/Z400)</f>
        <v/>
      </c>
      <c r="AE400" s="25" t="str">
        <f aca="false">IF(OR(S400="",N(Z400)=0),"",IF($B400="Short",-1,1)*(S400-H400)*G400/Z400)</f>
        <v/>
      </c>
      <c r="AF400" s="25" t="str">
        <f aca="false">IF(OR(T400="",N(Z400)=0),"",IF($B400="Short",-1,1)*(T400-H400)*G400/Z400)</f>
        <v/>
      </c>
      <c r="AG400" s="21" t="str">
        <f aca="false">IF(U400&lt;&gt;"Open","",Y400*MAX(0,IF($B400="Short",-1,1)*(H400-IF(K400="",I400,K400))))</f>
        <v/>
      </c>
      <c r="AH400" s="26" t="str">
        <f aca="false">IF(U400&lt;&gt;"Closed","",DATE(YEAR(P400),MONTH(P400),1))</f>
        <v/>
      </c>
      <c r="AI400" s="19" t="str">
        <f aca="false">IF(U400&lt;&gt;"Closed","",COUNTIFS($U$7:$U$506,"Closed",$P$7:$P$506,"&lt;"&amp;P400)+COUNTIFS($U$7:U400,"Closed",$P$7:P400,P400))</f>
        <v/>
      </c>
    </row>
    <row r="401" customFormat="false" ht="15" hidden="false" customHeight="false" outlineLevel="0" collapsed="false">
      <c r="A401" s="13"/>
      <c r="B401" s="14"/>
      <c r="C401" s="14"/>
      <c r="D401" s="14"/>
      <c r="E401" s="15"/>
      <c r="F401" s="15"/>
      <c r="G401" s="16"/>
      <c r="H401" s="17"/>
      <c r="I401" s="17"/>
      <c r="J401" s="17"/>
      <c r="K401" s="17"/>
      <c r="L401" s="16"/>
      <c r="M401" s="17"/>
      <c r="N401" s="16"/>
      <c r="O401" s="17"/>
      <c r="P401" s="15"/>
      <c r="Q401" s="17"/>
      <c r="R401" s="17"/>
      <c r="S401" s="17"/>
      <c r="T401" s="17"/>
      <c r="U401" s="18" t="str">
        <f aca="false">IF(A401="","",IF(N(G401)-N(L401)-N(N401)&lt;0,"Check shares",IF(AND(P401&lt;&gt;"",Q401&lt;&gt;""),"Closed","Open")))</f>
        <v/>
      </c>
      <c r="V401" s="19" t="str">
        <f aca="false">IF(OR(F401="",P401=""),"",NETWORKDAYS(F401,P401,Lists!$F$5:$F$40)-1)</f>
        <v/>
      </c>
      <c r="W401" s="18" t="str">
        <f aca="false">IF(V401="","",IF(V401=0,"Same day","Overnight"))</f>
        <v/>
      </c>
      <c r="X401" s="18" t="str">
        <f aca="false">IF(OR(E401="",F401=""),"",IF(AND(E401&gt;=F401,OR(P401="",E401&lt;=P401)),"Yes","No"))</f>
        <v/>
      </c>
      <c r="Y401" s="20" t="str">
        <f aca="false">IF(A401="","",N(G401)-N(L401)-N(N401))</f>
        <v/>
      </c>
      <c r="Z401" s="21" t="str">
        <f aca="false">IF(OR(G401="",H401="",I401=""),"",ABS(H401-I401)*G401)</f>
        <v/>
      </c>
      <c r="AA401" s="22" t="str">
        <f aca="false">IF(OR(J401="",N(Z401)=0),"",ABS(J401-H401)/ABS(H401-I401))</f>
        <v/>
      </c>
      <c r="AB401" s="23" t="str">
        <f aca="false">IF(U401&lt;&gt;"Closed","",(N(L401)*N(M401)+N(N401)*N(O401)+Y401*Q401)/G401)</f>
        <v/>
      </c>
      <c r="AC401" s="24" t="str">
        <f aca="false">IF(U401&lt;&gt;"Closed","",IF($B401="Short",-1,1)*((N(M401)-H401)*N(L401)+(N(O401)-H401)*N(N401)+(Q401-H401)*Y401)-N(R401))</f>
        <v/>
      </c>
      <c r="AD401" s="25" t="str">
        <f aca="false">IF(OR(AC401="",N(Z401)=0),"",AC401/Z401)</f>
        <v/>
      </c>
      <c r="AE401" s="25" t="str">
        <f aca="false">IF(OR(S401="",N(Z401)=0),"",IF($B401="Short",-1,1)*(S401-H401)*G401/Z401)</f>
        <v/>
      </c>
      <c r="AF401" s="25" t="str">
        <f aca="false">IF(OR(T401="",N(Z401)=0),"",IF($B401="Short",-1,1)*(T401-H401)*G401/Z401)</f>
        <v/>
      </c>
      <c r="AG401" s="21" t="str">
        <f aca="false">IF(U401&lt;&gt;"Open","",Y401*MAX(0,IF($B401="Short",-1,1)*(H401-IF(K401="",I401,K401))))</f>
        <v/>
      </c>
      <c r="AH401" s="26" t="str">
        <f aca="false">IF(U401&lt;&gt;"Closed","",DATE(YEAR(P401),MONTH(P401),1))</f>
        <v/>
      </c>
      <c r="AI401" s="19" t="str">
        <f aca="false">IF(U401&lt;&gt;"Closed","",COUNTIFS($U$7:$U$506,"Closed",$P$7:$P$506,"&lt;"&amp;P401)+COUNTIFS($U$7:U401,"Closed",$P$7:P401,P401))</f>
        <v/>
      </c>
    </row>
    <row r="402" customFormat="false" ht="15" hidden="false" customHeight="false" outlineLevel="0" collapsed="false">
      <c r="A402" s="13"/>
      <c r="B402" s="14"/>
      <c r="C402" s="14"/>
      <c r="D402" s="14"/>
      <c r="E402" s="15"/>
      <c r="F402" s="15"/>
      <c r="G402" s="16"/>
      <c r="H402" s="17"/>
      <c r="I402" s="17"/>
      <c r="J402" s="17"/>
      <c r="K402" s="17"/>
      <c r="L402" s="16"/>
      <c r="M402" s="17"/>
      <c r="N402" s="16"/>
      <c r="O402" s="17"/>
      <c r="P402" s="15"/>
      <c r="Q402" s="17"/>
      <c r="R402" s="17"/>
      <c r="S402" s="17"/>
      <c r="T402" s="17"/>
      <c r="U402" s="18" t="str">
        <f aca="false">IF(A402="","",IF(N(G402)-N(L402)-N(N402)&lt;0,"Check shares",IF(AND(P402&lt;&gt;"",Q402&lt;&gt;""),"Closed","Open")))</f>
        <v/>
      </c>
      <c r="V402" s="19" t="str">
        <f aca="false">IF(OR(F402="",P402=""),"",NETWORKDAYS(F402,P402,Lists!$F$5:$F$40)-1)</f>
        <v/>
      </c>
      <c r="W402" s="18" t="str">
        <f aca="false">IF(V402="","",IF(V402=0,"Same day","Overnight"))</f>
        <v/>
      </c>
      <c r="X402" s="18" t="str">
        <f aca="false">IF(OR(E402="",F402=""),"",IF(AND(E402&gt;=F402,OR(P402="",E402&lt;=P402)),"Yes","No"))</f>
        <v/>
      </c>
      <c r="Y402" s="20" t="str">
        <f aca="false">IF(A402="","",N(G402)-N(L402)-N(N402))</f>
        <v/>
      </c>
      <c r="Z402" s="21" t="str">
        <f aca="false">IF(OR(G402="",H402="",I402=""),"",ABS(H402-I402)*G402)</f>
        <v/>
      </c>
      <c r="AA402" s="22" t="str">
        <f aca="false">IF(OR(J402="",N(Z402)=0),"",ABS(J402-H402)/ABS(H402-I402))</f>
        <v/>
      </c>
      <c r="AB402" s="23" t="str">
        <f aca="false">IF(U402&lt;&gt;"Closed","",(N(L402)*N(M402)+N(N402)*N(O402)+Y402*Q402)/G402)</f>
        <v/>
      </c>
      <c r="AC402" s="24" t="str">
        <f aca="false">IF(U402&lt;&gt;"Closed","",IF($B402="Short",-1,1)*((N(M402)-H402)*N(L402)+(N(O402)-H402)*N(N402)+(Q402-H402)*Y402)-N(R402))</f>
        <v/>
      </c>
      <c r="AD402" s="25" t="str">
        <f aca="false">IF(OR(AC402="",N(Z402)=0),"",AC402/Z402)</f>
        <v/>
      </c>
      <c r="AE402" s="25" t="str">
        <f aca="false">IF(OR(S402="",N(Z402)=0),"",IF($B402="Short",-1,1)*(S402-H402)*G402/Z402)</f>
        <v/>
      </c>
      <c r="AF402" s="25" t="str">
        <f aca="false">IF(OR(T402="",N(Z402)=0),"",IF($B402="Short",-1,1)*(T402-H402)*G402/Z402)</f>
        <v/>
      </c>
      <c r="AG402" s="21" t="str">
        <f aca="false">IF(U402&lt;&gt;"Open","",Y402*MAX(0,IF($B402="Short",-1,1)*(H402-IF(K402="",I402,K402))))</f>
        <v/>
      </c>
      <c r="AH402" s="26" t="str">
        <f aca="false">IF(U402&lt;&gt;"Closed","",DATE(YEAR(P402),MONTH(P402),1))</f>
        <v/>
      </c>
      <c r="AI402" s="19" t="str">
        <f aca="false">IF(U402&lt;&gt;"Closed","",COUNTIFS($U$7:$U$506,"Closed",$P$7:$P$506,"&lt;"&amp;P402)+COUNTIFS($U$7:U402,"Closed",$P$7:P402,P402))</f>
        <v/>
      </c>
    </row>
    <row r="403" customFormat="false" ht="15" hidden="false" customHeight="false" outlineLevel="0" collapsed="false">
      <c r="A403" s="13"/>
      <c r="B403" s="14"/>
      <c r="C403" s="14"/>
      <c r="D403" s="14"/>
      <c r="E403" s="15"/>
      <c r="F403" s="15"/>
      <c r="G403" s="16"/>
      <c r="H403" s="17"/>
      <c r="I403" s="17"/>
      <c r="J403" s="17"/>
      <c r="K403" s="17"/>
      <c r="L403" s="16"/>
      <c r="M403" s="17"/>
      <c r="N403" s="16"/>
      <c r="O403" s="17"/>
      <c r="P403" s="15"/>
      <c r="Q403" s="17"/>
      <c r="R403" s="17"/>
      <c r="S403" s="17"/>
      <c r="T403" s="17"/>
      <c r="U403" s="18" t="str">
        <f aca="false">IF(A403="","",IF(N(G403)-N(L403)-N(N403)&lt;0,"Check shares",IF(AND(P403&lt;&gt;"",Q403&lt;&gt;""),"Closed","Open")))</f>
        <v/>
      </c>
      <c r="V403" s="19" t="str">
        <f aca="false">IF(OR(F403="",P403=""),"",NETWORKDAYS(F403,P403,Lists!$F$5:$F$40)-1)</f>
        <v/>
      </c>
      <c r="W403" s="18" t="str">
        <f aca="false">IF(V403="","",IF(V403=0,"Same day","Overnight"))</f>
        <v/>
      </c>
      <c r="X403" s="18" t="str">
        <f aca="false">IF(OR(E403="",F403=""),"",IF(AND(E403&gt;=F403,OR(P403="",E403&lt;=P403)),"Yes","No"))</f>
        <v/>
      </c>
      <c r="Y403" s="20" t="str">
        <f aca="false">IF(A403="","",N(G403)-N(L403)-N(N403))</f>
        <v/>
      </c>
      <c r="Z403" s="21" t="str">
        <f aca="false">IF(OR(G403="",H403="",I403=""),"",ABS(H403-I403)*G403)</f>
        <v/>
      </c>
      <c r="AA403" s="22" t="str">
        <f aca="false">IF(OR(J403="",N(Z403)=0),"",ABS(J403-H403)/ABS(H403-I403))</f>
        <v/>
      </c>
      <c r="AB403" s="23" t="str">
        <f aca="false">IF(U403&lt;&gt;"Closed","",(N(L403)*N(M403)+N(N403)*N(O403)+Y403*Q403)/G403)</f>
        <v/>
      </c>
      <c r="AC403" s="24" t="str">
        <f aca="false">IF(U403&lt;&gt;"Closed","",IF($B403="Short",-1,1)*((N(M403)-H403)*N(L403)+(N(O403)-H403)*N(N403)+(Q403-H403)*Y403)-N(R403))</f>
        <v/>
      </c>
      <c r="AD403" s="25" t="str">
        <f aca="false">IF(OR(AC403="",N(Z403)=0),"",AC403/Z403)</f>
        <v/>
      </c>
      <c r="AE403" s="25" t="str">
        <f aca="false">IF(OR(S403="",N(Z403)=0),"",IF($B403="Short",-1,1)*(S403-H403)*G403/Z403)</f>
        <v/>
      </c>
      <c r="AF403" s="25" t="str">
        <f aca="false">IF(OR(T403="",N(Z403)=0),"",IF($B403="Short",-1,1)*(T403-H403)*G403/Z403)</f>
        <v/>
      </c>
      <c r="AG403" s="21" t="str">
        <f aca="false">IF(U403&lt;&gt;"Open","",Y403*MAX(0,IF($B403="Short",-1,1)*(H403-IF(K403="",I403,K403))))</f>
        <v/>
      </c>
      <c r="AH403" s="26" t="str">
        <f aca="false">IF(U403&lt;&gt;"Closed","",DATE(YEAR(P403),MONTH(P403),1))</f>
        <v/>
      </c>
      <c r="AI403" s="19" t="str">
        <f aca="false">IF(U403&lt;&gt;"Closed","",COUNTIFS($U$7:$U$506,"Closed",$P$7:$P$506,"&lt;"&amp;P403)+COUNTIFS($U$7:U403,"Closed",$P$7:P403,P403))</f>
        <v/>
      </c>
    </row>
    <row r="404" customFormat="false" ht="15" hidden="false" customHeight="false" outlineLevel="0" collapsed="false">
      <c r="A404" s="13"/>
      <c r="B404" s="14"/>
      <c r="C404" s="14"/>
      <c r="D404" s="14"/>
      <c r="E404" s="15"/>
      <c r="F404" s="15"/>
      <c r="G404" s="16"/>
      <c r="H404" s="17"/>
      <c r="I404" s="17"/>
      <c r="J404" s="17"/>
      <c r="K404" s="17"/>
      <c r="L404" s="16"/>
      <c r="M404" s="17"/>
      <c r="N404" s="16"/>
      <c r="O404" s="17"/>
      <c r="P404" s="15"/>
      <c r="Q404" s="17"/>
      <c r="R404" s="17"/>
      <c r="S404" s="17"/>
      <c r="T404" s="17"/>
      <c r="U404" s="18" t="str">
        <f aca="false">IF(A404="","",IF(N(G404)-N(L404)-N(N404)&lt;0,"Check shares",IF(AND(P404&lt;&gt;"",Q404&lt;&gt;""),"Closed","Open")))</f>
        <v/>
      </c>
      <c r="V404" s="19" t="str">
        <f aca="false">IF(OR(F404="",P404=""),"",NETWORKDAYS(F404,P404,Lists!$F$5:$F$40)-1)</f>
        <v/>
      </c>
      <c r="W404" s="18" t="str">
        <f aca="false">IF(V404="","",IF(V404=0,"Same day","Overnight"))</f>
        <v/>
      </c>
      <c r="X404" s="18" t="str">
        <f aca="false">IF(OR(E404="",F404=""),"",IF(AND(E404&gt;=F404,OR(P404="",E404&lt;=P404)),"Yes","No"))</f>
        <v/>
      </c>
      <c r="Y404" s="20" t="str">
        <f aca="false">IF(A404="","",N(G404)-N(L404)-N(N404))</f>
        <v/>
      </c>
      <c r="Z404" s="21" t="str">
        <f aca="false">IF(OR(G404="",H404="",I404=""),"",ABS(H404-I404)*G404)</f>
        <v/>
      </c>
      <c r="AA404" s="22" t="str">
        <f aca="false">IF(OR(J404="",N(Z404)=0),"",ABS(J404-H404)/ABS(H404-I404))</f>
        <v/>
      </c>
      <c r="AB404" s="23" t="str">
        <f aca="false">IF(U404&lt;&gt;"Closed","",(N(L404)*N(M404)+N(N404)*N(O404)+Y404*Q404)/G404)</f>
        <v/>
      </c>
      <c r="AC404" s="24" t="str">
        <f aca="false">IF(U404&lt;&gt;"Closed","",IF($B404="Short",-1,1)*((N(M404)-H404)*N(L404)+(N(O404)-H404)*N(N404)+(Q404-H404)*Y404)-N(R404))</f>
        <v/>
      </c>
      <c r="AD404" s="25" t="str">
        <f aca="false">IF(OR(AC404="",N(Z404)=0),"",AC404/Z404)</f>
        <v/>
      </c>
      <c r="AE404" s="25" t="str">
        <f aca="false">IF(OR(S404="",N(Z404)=0),"",IF($B404="Short",-1,1)*(S404-H404)*G404/Z404)</f>
        <v/>
      </c>
      <c r="AF404" s="25" t="str">
        <f aca="false">IF(OR(T404="",N(Z404)=0),"",IF($B404="Short",-1,1)*(T404-H404)*G404/Z404)</f>
        <v/>
      </c>
      <c r="AG404" s="21" t="str">
        <f aca="false">IF(U404&lt;&gt;"Open","",Y404*MAX(0,IF($B404="Short",-1,1)*(H404-IF(K404="",I404,K404))))</f>
        <v/>
      </c>
      <c r="AH404" s="26" t="str">
        <f aca="false">IF(U404&lt;&gt;"Closed","",DATE(YEAR(P404),MONTH(P404),1))</f>
        <v/>
      </c>
      <c r="AI404" s="19" t="str">
        <f aca="false">IF(U404&lt;&gt;"Closed","",COUNTIFS($U$7:$U$506,"Closed",$P$7:$P$506,"&lt;"&amp;P404)+COUNTIFS($U$7:U404,"Closed",$P$7:P404,P404))</f>
        <v/>
      </c>
    </row>
    <row r="405" customFormat="false" ht="15" hidden="false" customHeight="false" outlineLevel="0" collapsed="false">
      <c r="A405" s="13"/>
      <c r="B405" s="14"/>
      <c r="C405" s="14"/>
      <c r="D405" s="14"/>
      <c r="E405" s="15"/>
      <c r="F405" s="15"/>
      <c r="G405" s="16"/>
      <c r="H405" s="17"/>
      <c r="I405" s="17"/>
      <c r="J405" s="17"/>
      <c r="K405" s="17"/>
      <c r="L405" s="16"/>
      <c r="M405" s="17"/>
      <c r="N405" s="16"/>
      <c r="O405" s="17"/>
      <c r="P405" s="15"/>
      <c r="Q405" s="17"/>
      <c r="R405" s="17"/>
      <c r="S405" s="17"/>
      <c r="T405" s="17"/>
      <c r="U405" s="18" t="str">
        <f aca="false">IF(A405="","",IF(N(G405)-N(L405)-N(N405)&lt;0,"Check shares",IF(AND(P405&lt;&gt;"",Q405&lt;&gt;""),"Closed","Open")))</f>
        <v/>
      </c>
      <c r="V405" s="19" t="str">
        <f aca="false">IF(OR(F405="",P405=""),"",NETWORKDAYS(F405,P405,Lists!$F$5:$F$40)-1)</f>
        <v/>
      </c>
      <c r="W405" s="18" t="str">
        <f aca="false">IF(V405="","",IF(V405=0,"Same day","Overnight"))</f>
        <v/>
      </c>
      <c r="X405" s="18" t="str">
        <f aca="false">IF(OR(E405="",F405=""),"",IF(AND(E405&gt;=F405,OR(P405="",E405&lt;=P405)),"Yes","No"))</f>
        <v/>
      </c>
      <c r="Y405" s="20" t="str">
        <f aca="false">IF(A405="","",N(G405)-N(L405)-N(N405))</f>
        <v/>
      </c>
      <c r="Z405" s="21" t="str">
        <f aca="false">IF(OR(G405="",H405="",I405=""),"",ABS(H405-I405)*G405)</f>
        <v/>
      </c>
      <c r="AA405" s="22" t="str">
        <f aca="false">IF(OR(J405="",N(Z405)=0),"",ABS(J405-H405)/ABS(H405-I405))</f>
        <v/>
      </c>
      <c r="AB405" s="23" t="str">
        <f aca="false">IF(U405&lt;&gt;"Closed","",(N(L405)*N(M405)+N(N405)*N(O405)+Y405*Q405)/G405)</f>
        <v/>
      </c>
      <c r="AC405" s="24" t="str">
        <f aca="false">IF(U405&lt;&gt;"Closed","",IF($B405="Short",-1,1)*((N(M405)-H405)*N(L405)+(N(O405)-H405)*N(N405)+(Q405-H405)*Y405)-N(R405))</f>
        <v/>
      </c>
      <c r="AD405" s="25" t="str">
        <f aca="false">IF(OR(AC405="",N(Z405)=0),"",AC405/Z405)</f>
        <v/>
      </c>
      <c r="AE405" s="25" t="str">
        <f aca="false">IF(OR(S405="",N(Z405)=0),"",IF($B405="Short",-1,1)*(S405-H405)*G405/Z405)</f>
        <v/>
      </c>
      <c r="AF405" s="25" t="str">
        <f aca="false">IF(OR(T405="",N(Z405)=0),"",IF($B405="Short",-1,1)*(T405-H405)*G405/Z405)</f>
        <v/>
      </c>
      <c r="AG405" s="21" t="str">
        <f aca="false">IF(U405&lt;&gt;"Open","",Y405*MAX(0,IF($B405="Short",-1,1)*(H405-IF(K405="",I405,K405))))</f>
        <v/>
      </c>
      <c r="AH405" s="26" t="str">
        <f aca="false">IF(U405&lt;&gt;"Closed","",DATE(YEAR(P405),MONTH(P405),1))</f>
        <v/>
      </c>
      <c r="AI405" s="19" t="str">
        <f aca="false">IF(U405&lt;&gt;"Closed","",COUNTIFS($U$7:$U$506,"Closed",$P$7:$P$506,"&lt;"&amp;P405)+COUNTIFS($U$7:U405,"Closed",$P$7:P405,P405))</f>
        <v/>
      </c>
    </row>
    <row r="406" customFormat="false" ht="15" hidden="false" customHeight="false" outlineLevel="0" collapsed="false">
      <c r="A406" s="13"/>
      <c r="B406" s="14"/>
      <c r="C406" s="14"/>
      <c r="D406" s="14"/>
      <c r="E406" s="15"/>
      <c r="F406" s="15"/>
      <c r="G406" s="16"/>
      <c r="H406" s="17"/>
      <c r="I406" s="17"/>
      <c r="J406" s="17"/>
      <c r="K406" s="17"/>
      <c r="L406" s="16"/>
      <c r="M406" s="17"/>
      <c r="N406" s="16"/>
      <c r="O406" s="17"/>
      <c r="P406" s="15"/>
      <c r="Q406" s="17"/>
      <c r="R406" s="17"/>
      <c r="S406" s="17"/>
      <c r="T406" s="17"/>
      <c r="U406" s="18" t="str">
        <f aca="false">IF(A406="","",IF(N(G406)-N(L406)-N(N406)&lt;0,"Check shares",IF(AND(P406&lt;&gt;"",Q406&lt;&gt;""),"Closed","Open")))</f>
        <v/>
      </c>
      <c r="V406" s="19" t="str">
        <f aca="false">IF(OR(F406="",P406=""),"",NETWORKDAYS(F406,P406,Lists!$F$5:$F$40)-1)</f>
        <v/>
      </c>
      <c r="W406" s="18" t="str">
        <f aca="false">IF(V406="","",IF(V406=0,"Same day","Overnight"))</f>
        <v/>
      </c>
      <c r="X406" s="18" t="str">
        <f aca="false">IF(OR(E406="",F406=""),"",IF(AND(E406&gt;=F406,OR(P406="",E406&lt;=P406)),"Yes","No"))</f>
        <v/>
      </c>
      <c r="Y406" s="20" t="str">
        <f aca="false">IF(A406="","",N(G406)-N(L406)-N(N406))</f>
        <v/>
      </c>
      <c r="Z406" s="21" t="str">
        <f aca="false">IF(OR(G406="",H406="",I406=""),"",ABS(H406-I406)*G406)</f>
        <v/>
      </c>
      <c r="AA406" s="22" t="str">
        <f aca="false">IF(OR(J406="",N(Z406)=0),"",ABS(J406-H406)/ABS(H406-I406))</f>
        <v/>
      </c>
      <c r="AB406" s="23" t="str">
        <f aca="false">IF(U406&lt;&gt;"Closed","",(N(L406)*N(M406)+N(N406)*N(O406)+Y406*Q406)/G406)</f>
        <v/>
      </c>
      <c r="AC406" s="24" t="str">
        <f aca="false">IF(U406&lt;&gt;"Closed","",IF($B406="Short",-1,1)*((N(M406)-H406)*N(L406)+(N(O406)-H406)*N(N406)+(Q406-H406)*Y406)-N(R406))</f>
        <v/>
      </c>
      <c r="AD406" s="25" t="str">
        <f aca="false">IF(OR(AC406="",N(Z406)=0),"",AC406/Z406)</f>
        <v/>
      </c>
      <c r="AE406" s="25" t="str">
        <f aca="false">IF(OR(S406="",N(Z406)=0),"",IF($B406="Short",-1,1)*(S406-H406)*G406/Z406)</f>
        <v/>
      </c>
      <c r="AF406" s="25" t="str">
        <f aca="false">IF(OR(T406="",N(Z406)=0),"",IF($B406="Short",-1,1)*(T406-H406)*G406/Z406)</f>
        <v/>
      </c>
      <c r="AG406" s="21" t="str">
        <f aca="false">IF(U406&lt;&gt;"Open","",Y406*MAX(0,IF($B406="Short",-1,1)*(H406-IF(K406="",I406,K406))))</f>
        <v/>
      </c>
      <c r="AH406" s="26" t="str">
        <f aca="false">IF(U406&lt;&gt;"Closed","",DATE(YEAR(P406),MONTH(P406),1))</f>
        <v/>
      </c>
      <c r="AI406" s="19" t="str">
        <f aca="false">IF(U406&lt;&gt;"Closed","",COUNTIFS($U$7:$U$506,"Closed",$P$7:$P$506,"&lt;"&amp;P406)+COUNTIFS($U$7:U406,"Closed",$P$7:P406,P406))</f>
        <v/>
      </c>
    </row>
    <row r="407" customFormat="false" ht="15" hidden="false" customHeight="false" outlineLevel="0" collapsed="false">
      <c r="A407" s="13"/>
      <c r="B407" s="14"/>
      <c r="C407" s="14"/>
      <c r="D407" s="14"/>
      <c r="E407" s="15"/>
      <c r="F407" s="15"/>
      <c r="G407" s="16"/>
      <c r="H407" s="17"/>
      <c r="I407" s="17"/>
      <c r="J407" s="17"/>
      <c r="K407" s="17"/>
      <c r="L407" s="16"/>
      <c r="M407" s="17"/>
      <c r="N407" s="16"/>
      <c r="O407" s="17"/>
      <c r="P407" s="15"/>
      <c r="Q407" s="17"/>
      <c r="R407" s="17"/>
      <c r="S407" s="17"/>
      <c r="T407" s="17"/>
      <c r="U407" s="18" t="str">
        <f aca="false">IF(A407="","",IF(N(G407)-N(L407)-N(N407)&lt;0,"Check shares",IF(AND(P407&lt;&gt;"",Q407&lt;&gt;""),"Closed","Open")))</f>
        <v/>
      </c>
      <c r="V407" s="19" t="str">
        <f aca="false">IF(OR(F407="",P407=""),"",NETWORKDAYS(F407,P407,Lists!$F$5:$F$40)-1)</f>
        <v/>
      </c>
      <c r="W407" s="18" t="str">
        <f aca="false">IF(V407="","",IF(V407=0,"Same day","Overnight"))</f>
        <v/>
      </c>
      <c r="X407" s="18" t="str">
        <f aca="false">IF(OR(E407="",F407=""),"",IF(AND(E407&gt;=F407,OR(P407="",E407&lt;=P407)),"Yes","No"))</f>
        <v/>
      </c>
      <c r="Y407" s="20" t="str">
        <f aca="false">IF(A407="","",N(G407)-N(L407)-N(N407))</f>
        <v/>
      </c>
      <c r="Z407" s="21" t="str">
        <f aca="false">IF(OR(G407="",H407="",I407=""),"",ABS(H407-I407)*G407)</f>
        <v/>
      </c>
      <c r="AA407" s="22" t="str">
        <f aca="false">IF(OR(J407="",N(Z407)=0),"",ABS(J407-H407)/ABS(H407-I407))</f>
        <v/>
      </c>
      <c r="AB407" s="23" t="str">
        <f aca="false">IF(U407&lt;&gt;"Closed","",(N(L407)*N(M407)+N(N407)*N(O407)+Y407*Q407)/G407)</f>
        <v/>
      </c>
      <c r="AC407" s="24" t="str">
        <f aca="false">IF(U407&lt;&gt;"Closed","",IF($B407="Short",-1,1)*((N(M407)-H407)*N(L407)+(N(O407)-H407)*N(N407)+(Q407-H407)*Y407)-N(R407))</f>
        <v/>
      </c>
      <c r="AD407" s="25" t="str">
        <f aca="false">IF(OR(AC407="",N(Z407)=0),"",AC407/Z407)</f>
        <v/>
      </c>
      <c r="AE407" s="25" t="str">
        <f aca="false">IF(OR(S407="",N(Z407)=0),"",IF($B407="Short",-1,1)*(S407-H407)*G407/Z407)</f>
        <v/>
      </c>
      <c r="AF407" s="25" t="str">
        <f aca="false">IF(OR(T407="",N(Z407)=0),"",IF($B407="Short",-1,1)*(T407-H407)*G407/Z407)</f>
        <v/>
      </c>
      <c r="AG407" s="21" t="str">
        <f aca="false">IF(U407&lt;&gt;"Open","",Y407*MAX(0,IF($B407="Short",-1,1)*(H407-IF(K407="",I407,K407))))</f>
        <v/>
      </c>
      <c r="AH407" s="26" t="str">
        <f aca="false">IF(U407&lt;&gt;"Closed","",DATE(YEAR(P407),MONTH(P407),1))</f>
        <v/>
      </c>
      <c r="AI407" s="19" t="str">
        <f aca="false">IF(U407&lt;&gt;"Closed","",COUNTIFS($U$7:$U$506,"Closed",$P$7:$P$506,"&lt;"&amp;P407)+COUNTIFS($U$7:U407,"Closed",$P$7:P407,P407))</f>
        <v/>
      </c>
    </row>
    <row r="408" customFormat="false" ht="15" hidden="false" customHeight="false" outlineLevel="0" collapsed="false">
      <c r="A408" s="13"/>
      <c r="B408" s="14"/>
      <c r="C408" s="14"/>
      <c r="D408" s="14"/>
      <c r="E408" s="15"/>
      <c r="F408" s="15"/>
      <c r="G408" s="16"/>
      <c r="H408" s="17"/>
      <c r="I408" s="17"/>
      <c r="J408" s="17"/>
      <c r="K408" s="17"/>
      <c r="L408" s="16"/>
      <c r="M408" s="17"/>
      <c r="N408" s="16"/>
      <c r="O408" s="17"/>
      <c r="P408" s="15"/>
      <c r="Q408" s="17"/>
      <c r="R408" s="17"/>
      <c r="S408" s="17"/>
      <c r="T408" s="17"/>
      <c r="U408" s="18" t="str">
        <f aca="false">IF(A408="","",IF(N(G408)-N(L408)-N(N408)&lt;0,"Check shares",IF(AND(P408&lt;&gt;"",Q408&lt;&gt;""),"Closed","Open")))</f>
        <v/>
      </c>
      <c r="V408" s="19" t="str">
        <f aca="false">IF(OR(F408="",P408=""),"",NETWORKDAYS(F408,P408,Lists!$F$5:$F$40)-1)</f>
        <v/>
      </c>
      <c r="W408" s="18" t="str">
        <f aca="false">IF(V408="","",IF(V408=0,"Same day","Overnight"))</f>
        <v/>
      </c>
      <c r="X408" s="18" t="str">
        <f aca="false">IF(OR(E408="",F408=""),"",IF(AND(E408&gt;=F408,OR(P408="",E408&lt;=P408)),"Yes","No"))</f>
        <v/>
      </c>
      <c r="Y408" s="20" t="str">
        <f aca="false">IF(A408="","",N(G408)-N(L408)-N(N408))</f>
        <v/>
      </c>
      <c r="Z408" s="21" t="str">
        <f aca="false">IF(OR(G408="",H408="",I408=""),"",ABS(H408-I408)*G408)</f>
        <v/>
      </c>
      <c r="AA408" s="22" t="str">
        <f aca="false">IF(OR(J408="",N(Z408)=0),"",ABS(J408-H408)/ABS(H408-I408))</f>
        <v/>
      </c>
      <c r="AB408" s="23" t="str">
        <f aca="false">IF(U408&lt;&gt;"Closed","",(N(L408)*N(M408)+N(N408)*N(O408)+Y408*Q408)/G408)</f>
        <v/>
      </c>
      <c r="AC408" s="24" t="str">
        <f aca="false">IF(U408&lt;&gt;"Closed","",IF($B408="Short",-1,1)*((N(M408)-H408)*N(L408)+(N(O408)-H408)*N(N408)+(Q408-H408)*Y408)-N(R408))</f>
        <v/>
      </c>
      <c r="AD408" s="25" t="str">
        <f aca="false">IF(OR(AC408="",N(Z408)=0),"",AC408/Z408)</f>
        <v/>
      </c>
      <c r="AE408" s="25" t="str">
        <f aca="false">IF(OR(S408="",N(Z408)=0),"",IF($B408="Short",-1,1)*(S408-H408)*G408/Z408)</f>
        <v/>
      </c>
      <c r="AF408" s="25" t="str">
        <f aca="false">IF(OR(T408="",N(Z408)=0),"",IF($B408="Short",-1,1)*(T408-H408)*G408/Z408)</f>
        <v/>
      </c>
      <c r="AG408" s="21" t="str">
        <f aca="false">IF(U408&lt;&gt;"Open","",Y408*MAX(0,IF($B408="Short",-1,1)*(H408-IF(K408="",I408,K408))))</f>
        <v/>
      </c>
      <c r="AH408" s="26" t="str">
        <f aca="false">IF(U408&lt;&gt;"Closed","",DATE(YEAR(P408),MONTH(P408),1))</f>
        <v/>
      </c>
      <c r="AI408" s="19" t="str">
        <f aca="false">IF(U408&lt;&gt;"Closed","",COUNTIFS($U$7:$U$506,"Closed",$P$7:$P$506,"&lt;"&amp;P408)+COUNTIFS($U$7:U408,"Closed",$P$7:P408,P408))</f>
        <v/>
      </c>
    </row>
    <row r="409" customFormat="false" ht="15" hidden="false" customHeight="false" outlineLevel="0" collapsed="false">
      <c r="A409" s="13"/>
      <c r="B409" s="14"/>
      <c r="C409" s="14"/>
      <c r="D409" s="14"/>
      <c r="E409" s="15"/>
      <c r="F409" s="15"/>
      <c r="G409" s="16"/>
      <c r="H409" s="17"/>
      <c r="I409" s="17"/>
      <c r="J409" s="17"/>
      <c r="K409" s="17"/>
      <c r="L409" s="16"/>
      <c r="M409" s="17"/>
      <c r="N409" s="16"/>
      <c r="O409" s="17"/>
      <c r="P409" s="15"/>
      <c r="Q409" s="17"/>
      <c r="R409" s="17"/>
      <c r="S409" s="17"/>
      <c r="T409" s="17"/>
      <c r="U409" s="18" t="str">
        <f aca="false">IF(A409="","",IF(N(G409)-N(L409)-N(N409)&lt;0,"Check shares",IF(AND(P409&lt;&gt;"",Q409&lt;&gt;""),"Closed","Open")))</f>
        <v/>
      </c>
      <c r="V409" s="19" t="str">
        <f aca="false">IF(OR(F409="",P409=""),"",NETWORKDAYS(F409,P409,Lists!$F$5:$F$40)-1)</f>
        <v/>
      </c>
      <c r="W409" s="18" t="str">
        <f aca="false">IF(V409="","",IF(V409=0,"Same day","Overnight"))</f>
        <v/>
      </c>
      <c r="X409" s="18" t="str">
        <f aca="false">IF(OR(E409="",F409=""),"",IF(AND(E409&gt;=F409,OR(P409="",E409&lt;=P409)),"Yes","No"))</f>
        <v/>
      </c>
      <c r="Y409" s="20" t="str">
        <f aca="false">IF(A409="","",N(G409)-N(L409)-N(N409))</f>
        <v/>
      </c>
      <c r="Z409" s="21" t="str">
        <f aca="false">IF(OR(G409="",H409="",I409=""),"",ABS(H409-I409)*G409)</f>
        <v/>
      </c>
      <c r="AA409" s="22" t="str">
        <f aca="false">IF(OR(J409="",N(Z409)=0),"",ABS(J409-H409)/ABS(H409-I409))</f>
        <v/>
      </c>
      <c r="AB409" s="23" t="str">
        <f aca="false">IF(U409&lt;&gt;"Closed","",(N(L409)*N(M409)+N(N409)*N(O409)+Y409*Q409)/G409)</f>
        <v/>
      </c>
      <c r="AC409" s="24" t="str">
        <f aca="false">IF(U409&lt;&gt;"Closed","",IF($B409="Short",-1,1)*((N(M409)-H409)*N(L409)+(N(O409)-H409)*N(N409)+(Q409-H409)*Y409)-N(R409))</f>
        <v/>
      </c>
      <c r="AD409" s="25" t="str">
        <f aca="false">IF(OR(AC409="",N(Z409)=0),"",AC409/Z409)</f>
        <v/>
      </c>
      <c r="AE409" s="25" t="str">
        <f aca="false">IF(OR(S409="",N(Z409)=0),"",IF($B409="Short",-1,1)*(S409-H409)*G409/Z409)</f>
        <v/>
      </c>
      <c r="AF409" s="25" t="str">
        <f aca="false">IF(OR(T409="",N(Z409)=0),"",IF($B409="Short",-1,1)*(T409-H409)*G409/Z409)</f>
        <v/>
      </c>
      <c r="AG409" s="21" t="str">
        <f aca="false">IF(U409&lt;&gt;"Open","",Y409*MAX(0,IF($B409="Short",-1,1)*(H409-IF(K409="",I409,K409))))</f>
        <v/>
      </c>
      <c r="AH409" s="26" t="str">
        <f aca="false">IF(U409&lt;&gt;"Closed","",DATE(YEAR(P409),MONTH(P409),1))</f>
        <v/>
      </c>
      <c r="AI409" s="19" t="str">
        <f aca="false">IF(U409&lt;&gt;"Closed","",COUNTIFS($U$7:$U$506,"Closed",$P$7:$P$506,"&lt;"&amp;P409)+COUNTIFS($U$7:U409,"Closed",$P$7:P409,P409))</f>
        <v/>
      </c>
    </row>
    <row r="410" customFormat="false" ht="15" hidden="false" customHeight="false" outlineLevel="0" collapsed="false">
      <c r="A410" s="13"/>
      <c r="B410" s="14"/>
      <c r="C410" s="14"/>
      <c r="D410" s="14"/>
      <c r="E410" s="15"/>
      <c r="F410" s="15"/>
      <c r="G410" s="16"/>
      <c r="H410" s="17"/>
      <c r="I410" s="17"/>
      <c r="J410" s="17"/>
      <c r="K410" s="17"/>
      <c r="L410" s="16"/>
      <c r="M410" s="17"/>
      <c r="N410" s="16"/>
      <c r="O410" s="17"/>
      <c r="P410" s="15"/>
      <c r="Q410" s="17"/>
      <c r="R410" s="17"/>
      <c r="S410" s="17"/>
      <c r="T410" s="17"/>
      <c r="U410" s="18" t="str">
        <f aca="false">IF(A410="","",IF(N(G410)-N(L410)-N(N410)&lt;0,"Check shares",IF(AND(P410&lt;&gt;"",Q410&lt;&gt;""),"Closed","Open")))</f>
        <v/>
      </c>
      <c r="V410" s="19" t="str">
        <f aca="false">IF(OR(F410="",P410=""),"",NETWORKDAYS(F410,P410,Lists!$F$5:$F$40)-1)</f>
        <v/>
      </c>
      <c r="W410" s="18" t="str">
        <f aca="false">IF(V410="","",IF(V410=0,"Same day","Overnight"))</f>
        <v/>
      </c>
      <c r="X410" s="18" t="str">
        <f aca="false">IF(OR(E410="",F410=""),"",IF(AND(E410&gt;=F410,OR(P410="",E410&lt;=P410)),"Yes","No"))</f>
        <v/>
      </c>
      <c r="Y410" s="20" t="str">
        <f aca="false">IF(A410="","",N(G410)-N(L410)-N(N410))</f>
        <v/>
      </c>
      <c r="Z410" s="21" t="str">
        <f aca="false">IF(OR(G410="",H410="",I410=""),"",ABS(H410-I410)*G410)</f>
        <v/>
      </c>
      <c r="AA410" s="22" t="str">
        <f aca="false">IF(OR(J410="",N(Z410)=0),"",ABS(J410-H410)/ABS(H410-I410))</f>
        <v/>
      </c>
      <c r="AB410" s="23" t="str">
        <f aca="false">IF(U410&lt;&gt;"Closed","",(N(L410)*N(M410)+N(N410)*N(O410)+Y410*Q410)/G410)</f>
        <v/>
      </c>
      <c r="AC410" s="24" t="str">
        <f aca="false">IF(U410&lt;&gt;"Closed","",IF($B410="Short",-1,1)*((N(M410)-H410)*N(L410)+(N(O410)-H410)*N(N410)+(Q410-H410)*Y410)-N(R410))</f>
        <v/>
      </c>
      <c r="AD410" s="25" t="str">
        <f aca="false">IF(OR(AC410="",N(Z410)=0),"",AC410/Z410)</f>
        <v/>
      </c>
      <c r="AE410" s="25" t="str">
        <f aca="false">IF(OR(S410="",N(Z410)=0),"",IF($B410="Short",-1,1)*(S410-H410)*G410/Z410)</f>
        <v/>
      </c>
      <c r="AF410" s="25" t="str">
        <f aca="false">IF(OR(T410="",N(Z410)=0),"",IF($B410="Short",-1,1)*(T410-H410)*G410/Z410)</f>
        <v/>
      </c>
      <c r="AG410" s="21" t="str">
        <f aca="false">IF(U410&lt;&gt;"Open","",Y410*MAX(0,IF($B410="Short",-1,1)*(H410-IF(K410="",I410,K410))))</f>
        <v/>
      </c>
      <c r="AH410" s="26" t="str">
        <f aca="false">IF(U410&lt;&gt;"Closed","",DATE(YEAR(P410),MONTH(P410),1))</f>
        <v/>
      </c>
      <c r="AI410" s="19" t="str">
        <f aca="false">IF(U410&lt;&gt;"Closed","",COUNTIFS($U$7:$U$506,"Closed",$P$7:$P$506,"&lt;"&amp;P410)+COUNTIFS($U$7:U410,"Closed",$P$7:P410,P410))</f>
        <v/>
      </c>
    </row>
    <row r="411" customFormat="false" ht="15" hidden="false" customHeight="false" outlineLevel="0" collapsed="false">
      <c r="A411" s="13"/>
      <c r="B411" s="14"/>
      <c r="C411" s="14"/>
      <c r="D411" s="14"/>
      <c r="E411" s="15"/>
      <c r="F411" s="15"/>
      <c r="G411" s="16"/>
      <c r="H411" s="17"/>
      <c r="I411" s="17"/>
      <c r="J411" s="17"/>
      <c r="K411" s="17"/>
      <c r="L411" s="16"/>
      <c r="M411" s="17"/>
      <c r="N411" s="16"/>
      <c r="O411" s="17"/>
      <c r="P411" s="15"/>
      <c r="Q411" s="17"/>
      <c r="R411" s="17"/>
      <c r="S411" s="17"/>
      <c r="T411" s="17"/>
      <c r="U411" s="18" t="str">
        <f aca="false">IF(A411="","",IF(N(G411)-N(L411)-N(N411)&lt;0,"Check shares",IF(AND(P411&lt;&gt;"",Q411&lt;&gt;""),"Closed","Open")))</f>
        <v/>
      </c>
      <c r="V411" s="19" t="str">
        <f aca="false">IF(OR(F411="",P411=""),"",NETWORKDAYS(F411,P411,Lists!$F$5:$F$40)-1)</f>
        <v/>
      </c>
      <c r="W411" s="18" t="str">
        <f aca="false">IF(V411="","",IF(V411=0,"Same day","Overnight"))</f>
        <v/>
      </c>
      <c r="X411" s="18" t="str">
        <f aca="false">IF(OR(E411="",F411=""),"",IF(AND(E411&gt;=F411,OR(P411="",E411&lt;=P411)),"Yes","No"))</f>
        <v/>
      </c>
      <c r="Y411" s="20" t="str">
        <f aca="false">IF(A411="","",N(G411)-N(L411)-N(N411))</f>
        <v/>
      </c>
      <c r="Z411" s="21" t="str">
        <f aca="false">IF(OR(G411="",H411="",I411=""),"",ABS(H411-I411)*G411)</f>
        <v/>
      </c>
      <c r="AA411" s="22" t="str">
        <f aca="false">IF(OR(J411="",N(Z411)=0),"",ABS(J411-H411)/ABS(H411-I411))</f>
        <v/>
      </c>
      <c r="AB411" s="23" t="str">
        <f aca="false">IF(U411&lt;&gt;"Closed","",(N(L411)*N(M411)+N(N411)*N(O411)+Y411*Q411)/G411)</f>
        <v/>
      </c>
      <c r="AC411" s="24" t="str">
        <f aca="false">IF(U411&lt;&gt;"Closed","",IF($B411="Short",-1,1)*((N(M411)-H411)*N(L411)+(N(O411)-H411)*N(N411)+(Q411-H411)*Y411)-N(R411))</f>
        <v/>
      </c>
      <c r="AD411" s="25" t="str">
        <f aca="false">IF(OR(AC411="",N(Z411)=0),"",AC411/Z411)</f>
        <v/>
      </c>
      <c r="AE411" s="25" t="str">
        <f aca="false">IF(OR(S411="",N(Z411)=0),"",IF($B411="Short",-1,1)*(S411-H411)*G411/Z411)</f>
        <v/>
      </c>
      <c r="AF411" s="25" t="str">
        <f aca="false">IF(OR(T411="",N(Z411)=0),"",IF($B411="Short",-1,1)*(T411-H411)*G411/Z411)</f>
        <v/>
      </c>
      <c r="AG411" s="21" t="str">
        <f aca="false">IF(U411&lt;&gt;"Open","",Y411*MAX(0,IF($B411="Short",-1,1)*(H411-IF(K411="",I411,K411))))</f>
        <v/>
      </c>
      <c r="AH411" s="26" t="str">
        <f aca="false">IF(U411&lt;&gt;"Closed","",DATE(YEAR(P411),MONTH(P411),1))</f>
        <v/>
      </c>
      <c r="AI411" s="19" t="str">
        <f aca="false">IF(U411&lt;&gt;"Closed","",COUNTIFS($U$7:$U$506,"Closed",$P$7:$P$506,"&lt;"&amp;P411)+COUNTIFS($U$7:U411,"Closed",$P$7:P411,P411))</f>
        <v/>
      </c>
    </row>
    <row r="412" customFormat="false" ht="15" hidden="false" customHeight="false" outlineLevel="0" collapsed="false">
      <c r="A412" s="13"/>
      <c r="B412" s="14"/>
      <c r="C412" s="14"/>
      <c r="D412" s="14"/>
      <c r="E412" s="15"/>
      <c r="F412" s="15"/>
      <c r="G412" s="16"/>
      <c r="H412" s="17"/>
      <c r="I412" s="17"/>
      <c r="J412" s="17"/>
      <c r="K412" s="17"/>
      <c r="L412" s="16"/>
      <c r="M412" s="17"/>
      <c r="N412" s="16"/>
      <c r="O412" s="17"/>
      <c r="P412" s="15"/>
      <c r="Q412" s="17"/>
      <c r="R412" s="17"/>
      <c r="S412" s="17"/>
      <c r="T412" s="17"/>
      <c r="U412" s="18" t="str">
        <f aca="false">IF(A412="","",IF(N(G412)-N(L412)-N(N412)&lt;0,"Check shares",IF(AND(P412&lt;&gt;"",Q412&lt;&gt;""),"Closed","Open")))</f>
        <v/>
      </c>
      <c r="V412" s="19" t="str">
        <f aca="false">IF(OR(F412="",P412=""),"",NETWORKDAYS(F412,P412,Lists!$F$5:$F$40)-1)</f>
        <v/>
      </c>
      <c r="W412" s="18" t="str">
        <f aca="false">IF(V412="","",IF(V412=0,"Same day","Overnight"))</f>
        <v/>
      </c>
      <c r="X412" s="18" t="str">
        <f aca="false">IF(OR(E412="",F412=""),"",IF(AND(E412&gt;=F412,OR(P412="",E412&lt;=P412)),"Yes","No"))</f>
        <v/>
      </c>
      <c r="Y412" s="20" t="str">
        <f aca="false">IF(A412="","",N(G412)-N(L412)-N(N412))</f>
        <v/>
      </c>
      <c r="Z412" s="21" t="str">
        <f aca="false">IF(OR(G412="",H412="",I412=""),"",ABS(H412-I412)*G412)</f>
        <v/>
      </c>
      <c r="AA412" s="22" t="str">
        <f aca="false">IF(OR(J412="",N(Z412)=0),"",ABS(J412-H412)/ABS(H412-I412))</f>
        <v/>
      </c>
      <c r="AB412" s="23" t="str">
        <f aca="false">IF(U412&lt;&gt;"Closed","",(N(L412)*N(M412)+N(N412)*N(O412)+Y412*Q412)/G412)</f>
        <v/>
      </c>
      <c r="AC412" s="24" t="str">
        <f aca="false">IF(U412&lt;&gt;"Closed","",IF($B412="Short",-1,1)*((N(M412)-H412)*N(L412)+(N(O412)-H412)*N(N412)+(Q412-H412)*Y412)-N(R412))</f>
        <v/>
      </c>
      <c r="AD412" s="25" t="str">
        <f aca="false">IF(OR(AC412="",N(Z412)=0),"",AC412/Z412)</f>
        <v/>
      </c>
      <c r="AE412" s="25" t="str">
        <f aca="false">IF(OR(S412="",N(Z412)=0),"",IF($B412="Short",-1,1)*(S412-H412)*G412/Z412)</f>
        <v/>
      </c>
      <c r="AF412" s="25" t="str">
        <f aca="false">IF(OR(T412="",N(Z412)=0),"",IF($B412="Short",-1,1)*(T412-H412)*G412/Z412)</f>
        <v/>
      </c>
      <c r="AG412" s="21" t="str">
        <f aca="false">IF(U412&lt;&gt;"Open","",Y412*MAX(0,IF($B412="Short",-1,1)*(H412-IF(K412="",I412,K412))))</f>
        <v/>
      </c>
      <c r="AH412" s="26" t="str">
        <f aca="false">IF(U412&lt;&gt;"Closed","",DATE(YEAR(P412),MONTH(P412),1))</f>
        <v/>
      </c>
      <c r="AI412" s="19" t="str">
        <f aca="false">IF(U412&lt;&gt;"Closed","",COUNTIFS($U$7:$U$506,"Closed",$P$7:$P$506,"&lt;"&amp;P412)+COUNTIFS($U$7:U412,"Closed",$P$7:P412,P412))</f>
        <v/>
      </c>
    </row>
    <row r="413" customFormat="false" ht="15" hidden="false" customHeight="false" outlineLevel="0" collapsed="false">
      <c r="A413" s="13"/>
      <c r="B413" s="14"/>
      <c r="C413" s="14"/>
      <c r="D413" s="14"/>
      <c r="E413" s="15"/>
      <c r="F413" s="15"/>
      <c r="G413" s="16"/>
      <c r="H413" s="17"/>
      <c r="I413" s="17"/>
      <c r="J413" s="17"/>
      <c r="K413" s="17"/>
      <c r="L413" s="16"/>
      <c r="M413" s="17"/>
      <c r="N413" s="16"/>
      <c r="O413" s="17"/>
      <c r="P413" s="15"/>
      <c r="Q413" s="17"/>
      <c r="R413" s="17"/>
      <c r="S413" s="17"/>
      <c r="T413" s="17"/>
      <c r="U413" s="18" t="str">
        <f aca="false">IF(A413="","",IF(N(G413)-N(L413)-N(N413)&lt;0,"Check shares",IF(AND(P413&lt;&gt;"",Q413&lt;&gt;""),"Closed","Open")))</f>
        <v/>
      </c>
      <c r="V413" s="19" t="str">
        <f aca="false">IF(OR(F413="",P413=""),"",NETWORKDAYS(F413,P413,Lists!$F$5:$F$40)-1)</f>
        <v/>
      </c>
      <c r="W413" s="18" t="str">
        <f aca="false">IF(V413="","",IF(V413=0,"Same day","Overnight"))</f>
        <v/>
      </c>
      <c r="X413" s="18" t="str">
        <f aca="false">IF(OR(E413="",F413=""),"",IF(AND(E413&gt;=F413,OR(P413="",E413&lt;=P413)),"Yes","No"))</f>
        <v/>
      </c>
      <c r="Y413" s="20" t="str">
        <f aca="false">IF(A413="","",N(G413)-N(L413)-N(N413))</f>
        <v/>
      </c>
      <c r="Z413" s="21" t="str">
        <f aca="false">IF(OR(G413="",H413="",I413=""),"",ABS(H413-I413)*G413)</f>
        <v/>
      </c>
      <c r="AA413" s="22" t="str">
        <f aca="false">IF(OR(J413="",N(Z413)=0),"",ABS(J413-H413)/ABS(H413-I413))</f>
        <v/>
      </c>
      <c r="AB413" s="23" t="str">
        <f aca="false">IF(U413&lt;&gt;"Closed","",(N(L413)*N(M413)+N(N413)*N(O413)+Y413*Q413)/G413)</f>
        <v/>
      </c>
      <c r="AC413" s="24" t="str">
        <f aca="false">IF(U413&lt;&gt;"Closed","",IF($B413="Short",-1,1)*((N(M413)-H413)*N(L413)+(N(O413)-H413)*N(N413)+(Q413-H413)*Y413)-N(R413))</f>
        <v/>
      </c>
      <c r="AD413" s="25" t="str">
        <f aca="false">IF(OR(AC413="",N(Z413)=0),"",AC413/Z413)</f>
        <v/>
      </c>
      <c r="AE413" s="25" t="str">
        <f aca="false">IF(OR(S413="",N(Z413)=0),"",IF($B413="Short",-1,1)*(S413-H413)*G413/Z413)</f>
        <v/>
      </c>
      <c r="AF413" s="25" t="str">
        <f aca="false">IF(OR(T413="",N(Z413)=0),"",IF($B413="Short",-1,1)*(T413-H413)*G413/Z413)</f>
        <v/>
      </c>
      <c r="AG413" s="21" t="str">
        <f aca="false">IF(U413&lt;&gt;"Open","",Y413*MAX(0,IF($B413="Short",-1,1)*(H413-IF(K413="",I413,K413))))</f>
        <v/>
      </c>
      <c r="AH413" s="26" t="str">
        <f aca="false">IF(U413&lt;&gt;"Closed","",DATE(YEAR(P413),MONTH(P413),1))</f>
        <v/>
      </c>
      <c r="AI413" s="19" t="str">
        <f aca="false">IF(U413&lt;&gt;"Closed","",COUNTIFS($U$7:$U$506,"Closed",$P$7:$P$506,"&lt;"&amp;P413)+COUNTIFS($U$7:U413,"Closed",$P$7:P413,P413))</f>
        <v/>
      </c>
    </row>
    <row r="414" customFormat="false" ht="15" hidden="false" customHeight="false" outlineLevel="0" collapsed="false">
      <c r="A414" s="13"/>
      <c r="B414" s="14"/>
      <c r="C414" s="14"/>
      <c r="D414" s="14"/>
      <c r="E414" s="15"/>
      <c r="F414" s="15"/>
      <c r="G414" s="16"/>
      <c r="H414" s="17"/>
      <c r="I414" s="17"/>
      <c r="J414" s="17"/>
      <c r="K414" s="17"/>
      <c r="L414" s="16"/>
      <c r="M414" s="17"/>
      <c r="N414" s="16"/>
      <c r="O414" s="17"/>
      <c r="P414" s="15"/>
      <c r="Q414" s="17"/>
      <c r="R414" s="17"/>
      <c r="S414" s="17"/>
      <c r="T414" s="17"/>
      <c r="U414" s="18" t="str">
        <f aca="false">IF(A414="","",IF(N(G414)-N(L414)-N(N414)&lt;0,"Check shares",IF(AND(P414&lt;&gt;"",Q414&lt;&gt;""),"Closed","Open")))</f>
        <v/>
      </c>
      <c r="V414" s="19" t="str">
        <f aca="false">IF(OR(F414="",P414=""),"",NETWORKDAYS(F414,P414,Lists!$F$5:$F$40)-1)</f>
        <v/>
      </c>
      <c r="W414" s="18" t="str">
        <f aca="false">IF(V414="","",IF(V414=0,"Same day","Overnight"))</f>
        <v/>
      </c>
      <c r="X414" s="18" t="str">
        <f aca="false">IF(OR(E414="",F414=""),"",IF(AND(E414&gt;=F414,OR(P414="",E414&lt;=P414)),"Yes","No"))</f>
        <v/>
      </c>
      <c r="Y414" s="20" t="str">
        <f aca="false">IF(A414="","",N(G414)-N(L414)-N(N414))</f>
        <v/>
      </c>
      <c r="Z414" s="21" t="str">
        <f aca="false">IF(OR(G414="",H414="",I414=""),"",ABS(H414-I414)*G414)</f>
        <v/>
      </c>
      <c r="AA414" s="22" t="str">
        <f aca="false">IF(OR(J414="",N(Z414)=0),"",ABS(J414-H414)/ABS(H414-I414))</f>
        <v/>
      </c>
      <c r="AB414" s="23" t="str">
        <f aca="false">IF(U414&lt;&gt;"Closed","",(N(L414)*N(M414)+N(N414)*N(O414)+Y414*Q414)/G414)</f>
        <v/>
      </c>
      <c r="AC414" s="24" t="str">
        <f aca="false">IF(U414&lt;&gt;"Closed","",IF($B414="Short",-1,1)*((N(M414)-H414)*N(L414)+(N(O414)-H414)*N(N414)+(Q414-H414)*Y414)-N(R414))</f>
        <v/>
      </c>
      <c r="AD414" s="25" t="str">
        <f aca="false">IF(OR(AC414="",N(Z414)=0),"",AC414/Z414)</f>
        <v/>
      </c>
      <c r="AE414" s="25" t="str">
        <f aca="false">IF(OR(S414="",N(Z414)=0),"",IF($B414="Short",-1,1)*(S414-H414)*G414/Z414)</f>
        <v/>
      </c>
      <c r="AF414" s="25" t="str">
        <f aca="false">IF(OR(T414="",N(Z414)=0),"",IF($B414="Short",-1,1)*(T414-H414)*G414/Z414)</f>
        <v/>
      </c>
      <c r="AG414" s="21" t="str">
        <f aca="false">IF(U414&lt;&gt;"Open","",Y414*MAX(0,IF($B414="Short",-1,1)*(H414-IF(K414="",I414,K414))))</f>
        <v/>
      </c>
      <c r="AH414" s="26" t="str">
        <f aca="false">IF(U414&lt;&gt;"Closed","",DATE(YEAR(P414),MONTH(P414),1))</f>
        <v/>
      </c>
      <c r="AI414" s="19" t="str">
        <f aca="false">IF(U414&lt;&gt;"Closed","",COUNTIFS($U$7:$U$506,"Closed",$P$7:$P$506,"&lt;"&amp;P414)+COUNTIFS($U$7:U414,"Closed",$P$7:P414,P414))</f>
        <v/>
      </c>
    </row>
    <row r="415" customFormat="false" ht="15" hidden="false" customHeight="false" outlineLevel="0" collapsed="false">
      <c r="A415" s="13"/>
      <c r="B415" s="14"/>
      <c r="C415" s="14"/>
      <c r="D415" s="14"/>
      <c r="E415" s="15"/>
      <c r="F415" s="15"/>
      <c r="G415" s="16"/>
      <c r="H415" s="17"/>
      <c r="I415" s="17"/>
      <c r="J415" s="17"/>
      <c r="K415" s="17"/>
      <c r="L415" s="16"/>
      <c r="M415" s="17"/>
      <c r="N415" s="16"/>
      <c r="O415" s="17"/>
      <c r="P415" s="15"/>
      <c r="Q415" s="17"/>
      <c r="R415" s="17"/>
      <c r="S415" s="17"/>
      <c r="T415" s="17"/>
      <c r="U415" s="18" t="str">
        <f aca="false">IF(A415="","",IF(N(G415)-N(L415)-N(N415)&lt;0,"Check shares",IF(AND(P415&lt;&gt;"",Q415&lt;&gt;""),"Closed","Open")))</f>
        <v/>
      </c>
      <c r="V415" s="19" t="str">
        <f aca="false">IF(OR(F415="",P415=""),"",NETWORKDAYS(F415,P415,Lists!$F$5:$F$40)-1)</f>
        <v/>
      </c>
      <c r="W415" s="18" t="str">
        <f aca="false">IF(V415="","",IF(V415=0,"Same day","Overnight"))</f>
        <v/>
      </c>
      <c r="X415" s="18" t="str">
        <f aca="false">IF(OR(E415="",F415=""),"",IF(AND(E415&gt;=F415,OR(P415="",E415&lt;=P415)),"Yes","No"))</f>
        <v/>
      </c>
      <c r="Y415" s="20" t="str">
        <f aca="false">IF(A415="","",N(G415)-N(L415)-N(N415))</f>
        <v/>
      </c>
      <c r="Z415" s="21" t="str">
        <f aca="false">IF(OR(G415="",H415="",I415=""),"",ABS(H415-I415)*G415)</f>
        <v/>
      </c>
      <c r="AA415" s="22" t="str">
        <f aca="false">IF(OR(J415="",N(Z415)=0),"",ABS(J415-H415)/ABS(H415-I415))</f>
        <v/>
      </c>
      <c r="AB415" s="23" t="str">
        <f aca="false">IF(U415&lt;&gt;"Closed","",(N(L415)*N(M415)+N(N415)*N(O415)+Y415*Q415)/G415)</f>
        <v/>
      </c>
      <c r="AC415" s="24" t="str">
        <f aca="false">IF(U415&lt;&gt;"Closed","",IF($B415="Short",-1,1)*((N(M415)-H415)*N(L415)+(N(O415)-H415)*N(N415)+(Q415-H415)*Y415)-N(R415))</f>
        <v/>
      </c>
      <c r="AD415" s="25" t="str">
        <f aca="false">IF(OR(AC415="",N(Z415)=0),"",AC415/Z415)</f>
        <v/>
      </c>
      <c r="AE415" s="25" t="str">
        <f aca="false">IF(OR(S415="",N(Z415)=0),"",IF($B415="Short",-1,1)*(S415-H415)*G415/Z415)</f>
        <v/>
      </c>
      <c r="AF415" s="25" t="str">
        <f aca="false">IF(OR(T415="",N(Z415)=0),"",IF($B415="Short",-1,1)*(T415-H415)*G415/Z415)</f>
        <v/>
      </c>
      <c r="AG415" s="21" t="str">
        <f aca="false">IF(U415&lt;&gt;"Open","",Y415*MAX(0,IF($B415="Short",-1,1)*(H415-IF(K415="",I415,K415))))</f>
        <v/>
      </c>
      <c r="AH415" s="26" t="str">
        <f aca="false">IF(U415&lt;&gt;"Closed","",DATE(YEAR(P415),MONTH(P415),1))</f>
        <v/>
      </c>
      <c r="AI415" s="19" t="str">
        <f aca="false">IF(U415&lt;&gt;"Closed","",COUNTIFS($U$7:$U$506,"Closed",$P$7:$P$506,"&lt;"&amp;P415)+COUNTIFS($U$7:U415,"Closed",$P$7:P415,P415))</f>
        <v/>
      </c>
    </row>
    <row r="416" customFormat="false" ht="15" hidden="false" customHeight="false" outlineLevel="0" collapsed="false">
      <c r="A416" s="13"/>
      <c r="B416" s="14"/>
      <c r="C416" s="14"/>
      <c r="D416" s="14"/>
      <c r="E416" s="15"/>
      <c r="F416" s="15"/>
      <c r="G416" s="16"/>
      <c r="H416" s="17"/>
      <c r="I416" s="17"/>
      <c r="J416" s="17"/>
      <c r="K416" s="17"/>
      <c r="L416" s="16"/>
      <c r="M416" s="17"/>
      <c r="N416" s="16"/>
      <c r="O416" s="17"/>
      <c r="P416" s="15"/>
      <c r="Q416" s="17"/>
      <c r="R416" s="17"/>
      <c r="S416" s="17"/>
      <c r="T416" s="17"/>
      <c r="U416" s="18" t="str">
        <f aca="false">IF(A416="","",IF(N(G416)-N(L416)-N(N416)&lt;0,"Check shares",IF(AND(P416&lt;&gt;"",Q416&lt;&gt;""),"Closed","Open")))</f>
        <v/>
      </c>
      <c r="V416" s="19" t="str">
        <f aca="false">IF(OR(F416="",P416=""),"",NETWORKDAYS(F416,P416,Lists!$F$5:$F$40)-1)</f>
        <v/>
      </c>
      <c r="W416" s="18" t="str">
        <f aca="false">IF(V416="","",IF(V416=0,"Same day","Overnight"))</f>
        <v/>
      </c>
      <c r="X416" s="18" t="str">
        <f aca="false">IF(OR(E416="",F416=""),"",IF(AND(E416&gt;=F416,OR(P416="",E416&lt;=P416)),"Yes","No"))</f>
        <v/>
      </c>
      <c r="Y416" s="20" t="str">
        <f aca="false">IF(A416="","",N(G416)-N(L416)-N(N416))</f>
        <v/>
      </c>
      <c r="Z416" s="21" t="str">
        <f aca="false">IF(OR(G416="",H416="",I416=""),"",ABS(H416-I416)*G416)</f>
        <v/>
      </c>
      <c r="AA416" s="22" t="str">
        <f aca="false">IF(OR(J416="",N(Z416)=0),"",ABS(J416-H416)/ABS(H416-I416))</f>
        <v/>
      </c>
      <c r="AB416" s="23" t="str">
        <f aca="false">IF(U416&lt;&gt;"Closed","",(N(L416)*N(M416)+N(N416)*N(O416)+Y416*Q416)/G416)</f>
        <v/>
      </c>
      <c r="AC416" s="24" t="str">
        <f aca="false">IF(U416&lt;&gt;"Closed","",IF($B416="Short",-1,1)*((N(M416)-H416)*N(L416)+(N(O416)-H416)*N(N416)+(Q416-H416)*Y416)-N(R416))</f>
        <v/>
      </c>
      <c r="AD416" s="25" t="str">
        <f aca="false">IF(OR(AC416="",N(Z416)=0),"",AC416/Z416)</f>
        <v/>
      </c>
      <c r="AE416" s="25" t="str">
        <f aca="false">IF(OR(S416="",N(Z416)=0),"",IF($B416="Short",-1,1)*(S416-H416)*G416/Z416)</f>
        <v/>
      </c>
      <c r="AF416" s="25" t="str">
        <f aca="false">IF(OR(T416="",N(Z416)=0),"",IF($B416="Short",-1,1)*(T416-H416)*G416/Z416)</f>
        <v/>
      </c>
      <c r="AG416" s="21" t="str">
        <f aca="false">IF(U416&lt;&gt;"Open","",Y416*MAX(0,IF($B416="Short",-1,1)*(H416-IF(K416="",I416,K416))))</f>
        <v/>
      </c>
      <c r="AH416" s="26" t="str">
        <f aca="false">IF(U416&lt;&gt;"Closed","",DATE(YEAR(P416),MONTH(P416),1))</f>
        <v/>
      </c>
      <c r="AI416" s="19" t="str">
        <f aca="false">IF(U416&lt;&gt;"Closed","",COUNTIFS($U$7:$U$506,"Closed",$P$7:$P$506,"&lt;"&amp;P416)+COUNTIFS($U$7:U416,"Closed",$P$7:P416,P416))</f>
        <v/>
      </c>
    </row>
    <row r="417" customFormat="false" ht="15" hidden="false" customHeight="false" outlineLevel="0" collapsed="false">
      <c r="A417" s="13"/>
      <c r="B417" s="14"/>
      <c r="C417" s="14"/>
      <c r="D417" s="14"/>
      <c r="E417" s="15"/>
      <c r="F417" s="15"/>
      <c r="G417" s="16"/>
      <c r="H417" s="17"/>
      <c r="I417" s="17"/>
      <c r="J417" s="17"/>
      <c r="K417" s="17"/>
      <c r="L417" s="16"/>
      <c r="M417" s="17"/>
      <c r="N417" s="16"/>
      <c r="O417" s="17"/>
      <c r="P417" s="15"/>
      <c r="Q417" s="17"/>
      <c r="R417" s="17"/>
      <c r="S417" s="17"/>
      <c r="T417" s="17"/>
      <c r="U417" s="18" t="str">
        <f aca="false">IF(A417="","",IF(N(G417)-N(L417)-N(N417)&lt;0,"Check shares",IF(AND(P417&lt;&gt;"",Q417&lt;&gt;""),"Closed","Open")))</f>
        <v/>
      </c>
      <c r="V417" s="19" t="str">
        <f aca="false">IF(OR(F417="",P417=""),"",NETWORKDAYS(F417,P417,Lists!$F$5:$F$40)-1)</f>
        <v/>
      </c>
      <c r="W417" s="18" t="str">
        <f aca="false">IF(V417="","",IF(V417=0,"Same day","Overnight"))</f>
        <v/>
      </c>
      <c r="X417" s="18" t="str">
        <f aca="false">IF(OR(E417="",F417=""),"",IF(AND(E417&gt;=F417,OR(P417="",E417&lt;=P417)),"Yes","No"))</f>
        <v/>
      </c>
      <c r="Y417" s="20" t="str">
        <f aca="false">IF(A417="","",N(G417)-N(L417)-N(N417))</f>
        <v/>
      </c>
      <c r="Z417" s="21" t="str">
        <f aca="false">IF(OR(G417="",H417="",I417=""),"",ABS(H417-I417)*G417)</f>
        <v/>
      </c>
      <c r="AA417" s="22" t="str">
        <f aca="false">IF(OR(J417="",N(Z417)=0),"",ABS(J417-H417)/ABS(H417-I417))</f>
        <v/>
      </c>
      <c r="AB417" s="23" t="str">
        <f aca="false">IF(U417&lt;&gt;"Closed","",(N(L417)*N(M417)+N(N417)*N(O417)+Y417*Q417)/G417)</f>
        <v/>
      </c>
      <c r="AC417" s="24" t="str">
        <f aca="false">IF(U417&lt;&gt;"Closed","",IF($B417="Short",-1,1)*((N(M417)-H417)*N(L417)+(N(O417)-H417)*N(N417)+(Q417-H417)*Y417)-N(R417))</f>
        <v/>
      </c>
      <c r="AD417" s="25" t="str">
        <f aca="false">IF(OR(AC417="",N(Z417)=0),"",AC417/Z417)</f>
        <v/>
      </c>
      <c r="AE417" s="25" t="str">
        <f aca="false">IF(OR(S417="",N(Z417)=0),"",IF($B417="Short",-1,1)*(S417-H417)*G417/Z417)</f>
        <v/>
      </c>
      <c r="AF417" s="25" t="str">
        <f aca="false">IF(OR(T417="",N(Z417)=0),"",IF($B417="Short",-1,1)*(T417-H417)*G417/Z417)</f>
        <v/>
      </c>
      <c r="AG417" s="21" t="str">
        <f aca="false">IF(U417&lt;&gt;"Open","",Y417*MAX(0,IF($B417="Short",-1,1)*(H417-IF(K417="",I417,K417))))</f>
        <v/>
      </c>
      <c r="AH417" s="26" t="str">
        <f aca="false">IF(U417&lt;&gt;"Closed","",DATE(YEAR(P417),MONTH(P417),1))</f>
        <v/>
      </c>
      <c r="AI417" s="19" t="str">
        <f aca="false">IF(U417&lt;&gt;"Closed","",COUNTIFS($U$7:$U$506,"Closed",$P$7:$P$506,"&lt;"&amp;P417)+COUNTIFS($U$7:U417,"Closed",$P$7:P417,P417))</f>
        <v/>
      </c>
    </row>
    <row r="418" customFormat="false" ht="15" hidden="false" customHeight="false" outlineLevel="0" collapsed="false">
      <c r="A418" s="13"/>
      <c r="B418" s="14"/>
      <c r="C418" s="14"/>
      <c r="D418" s="14"/>
      <c r="E418" s="15"/>
      <c r="F418" s="15"/>
      <c r="G418" s="16"/>
      <c r="H418" s="17"/>
      <c r="I418" s="17"/>
      <c r="J418" s="17"/>
      <c r="K418" s="17"/>
      <c r="L418" s="16"/>
      <c r="M418" s="17"/>
      <c r="N418" s="16"/>
      <c r="O418" s="17"/>
      <c r="P418" s="15"/>
      <c r="Q418" s="17"/>
      <c r="R418" s="17"/>
      <c r="S418" s="17"/>
      <c r="T418" s="17"/>
      <c r="U418" s="18" t="str">
        <f aca="false">IF(A418="","",IF(N(G418)-N(L418)-N(N418)&lt;0,"Check shares",IF(AND(P418&lt;&gt;"",Q418&lt;&gt;""),"Closed","Open")))</f>
        <v/>
      </c>
      <c r="V418" s="19" t="str">
        <f aca="false">IF(OR(F418="",P418=""),"",NETWORKDAYS(F418,P418,Lists!$F$5:$F$40)-1)</f>
        <v/>
      </c>
      <c r="W418" s="18" t="str">
        <f aca="false">IF(V418="","",IF(V418=0,"Same day","Overnight"))</f>
        <v/>
      </c>
      <c r="X418" s="18" t="str">
        <f aca="false">IF(OR(E418="",F418=""),"",IF(AND(E418&gt;=F418,OR(P418="",E418&lt;=P418)),"Yes","No"))</f>
        <v/>
      </c>
      <c r="Y418" s="20" t="str">
        <f aca="false">IF(A418="","",N(G418)-N(L418)-N(N418))</f>
        <v/>
      </c>
      <c r="Z418" s="21" t="str">
        <f aca="false">IF(OR(G418="",H418="",I418=""),"",ABS(H418-I418)*G418)</f>
        <v/>
      </c>
      <c r="AA418" s="22" t="str">
        <f aca="false">IF(OR(J418="",N(Z418)=0),"",ABS(J418-H418)/ABS(H418-I418))</f>
        <v/>
      </c>
      <c r="AB418" s="23" t="str">
        <f aca="false">IF(U418&lt;&gt;"Closed","",(N(L418)*N(M418)+N(N418)*N(O418)+Y418*Q418)/G418)</f>
        <v/>
      </c>
      <c r="AC418" s="24" t="str">
        <f aca="false">IF(U418&lt;&gt;"Closed","",IF($B418="Short",-1,1)*((N(M418)-H418)*N(L418)+(N(O418)-H418)*N(N418)+(Q418-H418)*Y418)-N(R418))</f>
        <v/>
      </c>
      <c r="AD418" s="25" t="str">
        <f aca="false">IF(OR(AC418="",N(Z418)=0),"",AC418/Z418)</f>
        <v/>
      </c>
      <c r="AE418" s="25" t="str">
        <f aca="false">IF(OR(S418="",N(Z418)=0),"",IF($B418="Short",-1,1)*(S418-H418)*G418/Z418)</f>
        <v/>
      </c>
      <c r="AF418" s="25" t="str">
        <f aca="false">IF(OR(T418="",N(Z418)=0),"",IF($B418="Short",-1,1)*(T418-H418)*G418/Z418)</f>
        <v/>
      </c>
      <c r="AG418" s="21" t="str">
        <f aca="false">IF(U418&lt;&gt;"Open","",Y418*MAX(0,IF($B418="Short",-1,1)*(H418-IF(K418="",I418,K418))))</f>
        <v/>
      </c>
      <c r="AH418" s="26" t="str">
        <f aca="false">IF(U418&lt;&gt;"Closed","",DATE(YEAR(P418),MONTH(P418),1))</f>
        <v/>
      </c>
      <c r="AI418" s="19" t="str">
        <f aca="false">IF(U418&lt;&gt;"Closed","",COUNTIFS($U$7:$U$506,"Closed",$P$7:$P$506,"&lt;"&amp;P418)+COUNTIFS($U$7:U418,"Closed",$P$7:P418,P418))</f>
        <v/>
      </c>
    </row>
    <row r="419" customFormat="false" ht="15" hidden="false" customHeight="false" outlineLevel="0" collapsed="false">
      <c r="A419" s="13"/>
      <c r="B419" s="14"/>
      <c r="C419" s="14"/>
      <c r="D419" s="14"/>
      <c r="E419" s="15"/>
      <c r="F419" s="15"/>
      <c r="G419" s="16"/>
      <c r="H419" s="17"/>
      <c r="I419" s="17"/>
      <c r="J419" s="17"/>
      <c r="K419" s="17"/>
      <c r="L419" s="16"/>
      <c r="M419" s="17"/>
      <c r="N419" s="16"/>
      <c r="O419" s="17"/>
      <c r="P419" s="15"/>
      <c r="Q419" s="17"/>
      <c r="R419" s="17"/>
      <c r="S419" s="17"/>
      <c r="T419" s="17"/>
      <c r="U419" s="18" t="str">
        <f aca="false">IF(A419="","",IF(N(G419)-N(L419)-N(N419)&lt;0,"Check shares",IF(AND(P419&lt;&gt;"",Q419&lt;&gt;""),"Closed","Open")))</f>
        <v/>
      </c>
      <c r="V419" s="19" t="str">
        <f aca="false">IF(OR(F419="",P419=""),"",NETWORKDAYS(F419,P419,Lists!$F$5:$F$40)-1)</f>
        <v/>
      </c>
      <c r="W419" s="18" t="str">
        <f aca="false">IF(V419="","",IF(V419=0,"Same day","Overnight"))</f>
        <v/>
      </c>
      <c r="X419" s="18" t="str">
        <f aca="false">IF(OR(E419="",F419=""),"",IF(AND(E419&gt;=F419,OR(P419="",E419&lt;=P419)),"Yes","No"))</f>
        <v/>
      </c>
      <c r="Y419" s="20" t="str">
        <f aca="false">IF(A419="","",N(G419)-N(L419)-N(N419))</f>
        <v/>
      </c>
      <c r="Z419" s="21" t="str">
        <f aca="false">IF(OR(G419="",H419="",I419=""),"",ABS(H419-I419)*G419)</f>
        <v/>
      </c>
      <c r="AA419" s="22" t="str">
        <f aca="false">IF(OR(J419="",N(Z419)=0),"",ABS(J419-H419)/ABS(H419-I419))</f>
        <v/>
      </c>
      <c r="AB419" s="23" t="str">
        <f aca="false">IF(U419&lt;&gt;"Closed","",(N(L419)*N(M419)+N(N419)*N(O419)+Y419*Q419)/G419)</f>
        <v/>
      </c>
      <c r="AC419" s="24" t="str">
        <f aca="false">IF(U419&lt;&gt;"Closed","",IF($B419="Short",-1,1)*((N(M419)-H419)*N(L419)+(N(O419)-H419)*N(N419)+(Q419-H419)*Y419)-N(R419))</f>
        <v/>
      </c>
      <c r="AD419" s="25" t="str">
        <f aca="false">IF(OR(AC419="",N(Z419)=0),"",AC419/Z419)</f>
        <v/>
      </c>
      <c r="AE419" s="25" t="str">
        <f aca="false">IF(OR(S419="",N(Z419)=0),"",IF($B419="Short",-1,1)*(S419-H419)*G419/Z419)</f>
        <v/>
      </c>
      <c r="AF419" s="25" t="str">
        <f aca="false">IF(OR(T419="",N(Z419)=0),"",IF($B419="Short",-1,1)*(T419-H419)*G419/Z419)</f>
        <v/>
      </c>
      <c r="AG419" s="21" t="str">
        <f aca="false">IF(U419&lt;&gt;"Open","",Y419*MAX(0,IF($B419="Short",-1,1)*(H419-IF(K419="",I419,K419))))</f>
        <v/>
      </c>
      <c r="AH419" s="26" t="str">
        <f aca="false">IF(U419&lt;&gt;"Closed","",DATE(YEAR(P419),MONTH(P419),1))</f>
        <v/>
      </c>
      <c r="AI419" s="19" t="str">
        <f aca="false">IF(U419&lt;&gt;"Closed","",COUNTIFS($U$7:$U$506,"Closed",$P$7:$P$506,"&lt;"&amp;P419)+COUNTIFS($U$7:U419,"Closed",$P$7:P419,P419))</f>
        <v/>
      </c>
    </row>
    <row r="420" customFormat="false" ht="15" hidden="false" customHeight="false" outlineLevel="0" collapsed="false">
      <c r="A420" s="13"/>
      <c r="B420" s="14"/>
      <c r="C420" s="14"/>
      <c r="D420" s="14"/>
      <c r="E420" s="15"/>
      <c r="F420" s="15"/>
      <c r="G420" s="16"/>
      <c r="H420" s="17"/>
      <c r="I420" s="17"/>
      <c r="J420" s="17"/>
      <c r="K420" s="17"/>
      <c r="L420" s="16"/>
      <c r="M420" s="17"/>
      <c r="N420" s="16"/>
      <c r="O420" s="17"/>
      <c r="P420" s="15"/>
      <c r="Q420" s="17"/>
      <c r="R420" s="17"/>
      <c r="S420" s="17"/>
      <c r="T420" s="17"/>
      <c r="U420" s="18" t="str">
        <f aca="false">IF(A420="","",IF(N(G420)-N(L420)-N(N420)&lt;0,"Check shares",IF(AND(P420&lt;&gt;"",Q420&lt;&gt;""),"Closed","Open")))</f>
        <v/>
      </c>
      <c r="V420" s="19" t="str">
        <f aca="false">IF(OR(F420="",P420=""),"",NETWORKDAYS(F420,P420,Lists!$F$5:$F$40)-1)</f>
        <v/>
      </c>
      <c r="W420" s="18" t="str">
        <f aca="false">IF(V420="","",IF(V420=0,"Same day","Overnight"))</f>
        <v/>
      </c>
      <c r="X420" s="18" t="str">
        <f aca="false">IF(OR(E420="",F420=""),"",IF(AND(E420&gt;=F420,OR(P420="",E420&lt;=P420)),"Yes","No"))</f>
        <v/>
      </c>
      <c r="Y420" s="20" t="str">
        <f aca="false">IF(A420="","",N(G420)-N(L420)-N(N420))</f>
        <v/>
      </c>
      <c r="Z420" s="21" t="str">
        <f aca="false">IF(OR(G420="",H420="",I420=""),"",ABS(H420-I420)*G420)</f>
        <v/>
      </c>
      <c r="AA420" s="22" t="str">
        <f aca="false">IF(OR(J420="",N(Z420)=0),"",ABS(J420-H420)/ABS(H420-I420))</f>
        <v/>
      </c>
      <c r="AB420" s="23" t="str">
        <f aca="false">IF(U420&lt;&gt;"Closed","",(N(L420)*N(M420)+N(N420)*N(O420)+Y420*Q420)/G420)</f>
        <v/>
      </c>
      <c r="AC420" s="24" t="str">
        <f aca="false">IF(U420&lt;&gt;"Closed","",IF($B420="Short",-1,1)*((N(M420)-H420)*N(L420)+(N(O420)-H420)*N(N420)+(Q420-H420)*Y420)-N(R420))</f>
        <v/>
      </c>
      <c r="AD420" s="25" t="str">
        <f aca="false">IF(OR(AC420="",N(Z420)=0),"",AC420/Z420)</f>
        <v/>
      </c>
      <c r="AE420" s="25" t="str">
        <f aca="false">IF(OR(S420="",N(Z420)=0),"",IF($B420="Short",-1,1)*(S420-H420)*G420/Z420)</f>
        <v/>
      </c>
      <c r="AF420" s="25" t="str">
        <f aca="false">IF(OR(T420="",N(Z420)=0),"",IF($B420="Short",-1,1)*(T420-H420)*G420/Z420)</f>
        <v/>
      </c>
      <c r="AG420" s="21" t="str">
        <f aca="false">IF(U420&lt;&gt;"Open","",Y420*MAX(0,IF($B420="Short",-1,1)*(H420-IF(K420="",I420,K420))))</f>
        <v/>
      </c>
      <c r="AH420" s="26" t="str">
        <f aca="false">IF(U420&lt;&gt;"Closed","",DATE(YEAR(P420),MONTH(P420),1))</f>
        <v/>
      </c>
      <c r="AI420" s="19" t="str">
        <f aca="false">IF(U420&lt;&gt;"Closed","",COUNTIFS($U$7:$U$506,"Closed",$P$7:$P$506,"&lt;"&amp;P420)+COUNTIFS($U$7:U420,"Closed",$P$7:P420,P420))</f>
        <v/>
      </c>
    </row>
    <row r="421" customFormat="false" ht="15" hidden="false" customHeight="false" outlineLevel="0" collapsed="false">
      <c r="A421" s="13"/>
      <c r="B421" s="14"/>
      <c r="C421" s="14"/>
      <c r="D421" s="14"/>
      <c r="E421" s="15"/>
      <c r="F421" s="15"/>
      <c r="G421" s="16"/>
      <c r="H421" s="17"/>
      <c r="I421" s="17"/>
      <c r="J421" s="17"/>
      <c r="K421" s="17"/>
      <c r="L421" s="16"/>
      <c r="M421" s="17"/>
      <c r="N421" s="16"/>
      <c r="O421" s="17"/>
      <c r="P421" s="15"/>
      <c r="Q421" s="17"/>
      <c r="R421" s="17"/>
      <c r="S421" s="17"/>
      <c r="T421" s="17"/>
      <c r="U421" s="18" t="str">
        <f aca="false">IF(A421="","",IF(N(G421)-N(L421)-N(N421)&lt;0,"Check shares",IF(AND(P421&lt;&gt;"",Q421&lt;&gt;""),"Closed","Open")))</f>
        <v/>
      </c>
      <c r="V421" s="19" t="str">
        <f aca="false">IF(OR(F421="",P421=""),"",NETWORKDAYS(F421,P421,Lists!$F$5:$F$40)-1)</f>
        <v/>
      </c>
      <c r="W421" s="18" t="str">
        <f aca="false">IF(V421="","",IF(V421=0,"Same day","Overnight"))</f>
        <v/>
      </c>
      <c r="X421" s="18" t="str">
        <f aca="false">IF(OR(E421="",F421=""),"",IF(AND(E421&gt;=F421,OR(P421="",E421&lt;=P421)),"Yes","No"))</f>
        <v/>
      </c>
      <c r="Y421" s="20" t="str">
        <f aca="false">IF(A421="","",N(G421)-N(L421)-N(N421))</f>
        <v/>
      </c>
      <c r="Z421" s="21" t="str">
        <f aca="false">IF(OR(G421="",H421="",I421=""),"",ABS(H421-I421)*G421)</f>
        <v/>
      </c>
      <c r="AA421" s="22" t="str">
        <f aca="false">IF(OR(J421="",N(Z421)=0),"",ABS(J421-H421)/ABS(H421-I421))</f>
        <v/>
      </c>
      <c r="AB421" s="23" t="str">
        <f aca="false">IF(U421&lt;&gt;"Closed","",(N(L421)*N(M421)+N(N421)*N(O421)+Y421*Q421)/G421)</f>
        <v/>
      </c>
      <c r="AC421" s="24" t="str">
        <f aca="false">IF(U421&lt;&gt;"Closed","",IF($B421="Short",-1,1)*((N(M421)-H421)*N(L421)+(N(O421)-H421)*N(N421)+(Q421-H421)*Y421)-N(R421))</f>
        <v/>
      </c>
      <c r="AD421" s="25" t="str">
        <f aca="false">IF(OR(AC421="",N(Z421)=0),"",AC421/Z421)</f>
        <v/>
      </c>
      <c r="AE421" s="25" t="str">
        <f aca="false">IF(OR(S421="",N(Z421)=0),"",IF($B421="Short",-1,1)*(S421-H421)*G421/Z421)</f>
        <v/>
      </c>
      <c r="AF421" s="25" t="str">
        <f aca="false">IF(OR(T421="",N(Z421)=0),"",IF($B421="Short",-1,1)*(T421-H421)*G421/Z421)</f>
        <v/>
      </c>
      <c r="AG421" s="21" t="str">
        <f aca="false">IF(U421&lt;&gt;"Open","",Y421*MAX(0,IF($B421="Short",-1,1)*(H421-IF(K421="",I421,K421))))</f>
        <v/>
      </c>
      <c r="AH421" s="26" t="str">
        <f aca="false">IF(U421&lt;&gt;"Closed","",DATE(YEAR(P421),MONTH(P421),1))</f>
        <v/>
      </c>
      <c r="AI421" s="19" t="str">
        <f aca="false">IF(U421&lt;&gt;"Closed","",COUNTIFS($U$7:$U$506,"Closed",$P$7:$P$506,"&lt;"&amp;P421)+COUNTIFS($U$7:U421,"Closed",$P$7:P421,P421))</f>
        <v/>
      </c>
    </row>
    <row r="422" customFormat="false" ht="15" hidden="false" customHeight="false" outlineLevel="0" collapsed="false">
      <c r="A422" s="13"/>
      <c r="B422" s="14"/>
      <c r="C422" s="14"/>
      <c r="D422" s="14"/>
      <c r="E422" s="15"/>
      <c r="F422" s="15"/>
      <c r="G422" s="16"/>
      <c r="H422" s="17"/>
      <c r="I422" s="17"/>
      <c r="J422" s="17"/>
      <c r="K422" s="17"/>
      <c r="L422" s="16"/>
      <c r="M422" s="17"/>
      <c r="N422" s="16"/>
      <c r="O422" s="17"/>
      <c r="P422" s="15"/>
      <c r="Q422" s="17"/>
      <c r="R422" s="17"/>
      <c r="S422" s="17"/>
      <c r="T422" s="17"/>
      <c r="U422" s="18" t="str">
        <f aca="false">IF(A422="","",IF(N(G422)-N(L422)-N(N422)&lt;0,"Check shares",IF(AND(P422&lt;&gt;"",Q422&lt;&gt;""),"Closed","Open")))</f>
        <v/>
      </c>
      <c r="V422" s="19" t="str">
        <f aca="false">IF(OR(F422="",P422=""),"",NETWORKDAYS(F422,P422,Lists!$F$5:$F$40)-1)</f>
        <v/>
      </c>
      <c r="W422" s="18" t="str">
        <f aca="false">IF(V422="","",IF(V422=0,"Same day","Overnight"))</f>
        <v/>
      </c>
      <c r="X422" s="18" t="str">
        <f aca="false">IF(OR(E422="",F422=""),"",IF(AND(E422&gt;=F422,OR(P422="",E422&lt;=P422)),"Yes","No"))</f>
        <v/>
      </c>
      <c r="Y422" s="20" t="str">
        <f aca="false">IF(A422="","",N(G422)-N(L422)-N(N422))</f>
        <v/>
      </c>
      <c r="Z422" s="21" t="str">
        <f aca="false">IF(OR(G422="",H422="",I422=""),"",ABS(H422-I422)*G422)</f>
        <v/>
      </c>
      <c r="AA422" s="22" t="str">
        <f aca="false">IF(OR(J422="",N(Z422)=0),"",ABS(J422-H422)/ABS(H422-I422))</f>
        <v/>
      </c>
      <c r="AB422" s="23" t="str">
        <f aca="false">IF(U422&lt;&gt;"Closed","",(N(L422)*N(M422)+N(N422)*N(O422)+Y422*Q422)/G422)</f>
        <v/>
      </c>
      <c r="AC422" s="24" t="str">
        <f aca="false">IF(U422&lt;&gt;"Closed","",IF($B422="Short",-1,1)*((N(M422)-H422)*N(L422)+(N(O422)-H422)*N(N422)+(Q422-H422)*Y422)-N(R422))</f>
        <v/>
      </c>
      <c r="AD422" s="25" t="str">
        <f aca="false">IF(OR(AC422="",N(Z422)=0),"",AC422/Z422)</f>
        <v/>
      </c>
      <c r="AE422" s="25" t="str">
        <f aca="false">IF(OR(S422="",N(Z422)=0),"",IF($B422="Short",-1,1)*(S422-H422)*G422/Z422)</f>
        <v/>
      </c>
      <c r="AF422" s="25" t="str">
        <f aca="false">IF(OR(T422="",N(Z422)=0),"",IF($B422="Short",-1,1)*(T422-H422)*G422/Z422)</f>
        <v/>
      </c>
      <c r="AG422" s="21" t="str">
        <f aca="false">IF(U422&lt;&gt;"Open","",Y422*MAX(0,IF($B422="Short",-1,1)*(H422-IF(K422="",I422,K422))))</f>
        <v/>
      </c>
      <c r="AH422" s="26" t="str">
        <f aca="false">IF(U422&lt;&gt;"Closed","",DATE(YEAR(P422),MONTH(P422),1))</f>
        <v/>
      </c>
      <c r="AI422" s="19" t="str">
        <f aca="false">IF(U422&lt;&gt;"Closed","",COUNTIFS($U$7:$U$506,"Closed",$P$7:$P$506,"&lt;"&amp;P422)+COUNTIFS($U$7:U422,"Closed",$P$7:P422,P422))</f>
        <v/>
      </c>
    </row>
    <row r="423" customFormat="false" ht="15" hidden="false" customHeight="false" outlineLevel="0" collapsed="false">
      <c r="A423" s="13"/>
      <c r="B423" s="14"/>
      <c r="C423" s="14"/>
      <c r="D423" s="14"/>
      <c r="E423" s="15"/>
      <c r="F423" s="15"/>
      <c r="G423" s="16"/>
      <c r="H423" s="17"/>
      <c r="I423" s="17"/>
      <c r="J423" s="17"/>
      <c r="K423" s="17"/>
      <c r="L423" s="16"/>
      <c r="M423" s="17"/>
      <c r="N423" s="16"/>
      <c r="O423" s="17"/>
      <c r="P423" s="15"/>
      <c r="Q423" s="17"/>
      <c r="R423" s="17"/>
      <c r="S423" s="17"/>
      <c r="T423" s="17"/>
      <c r="U423" s="18" t="str">
        <f aca="false">IF(A423="","",IF(N(G423)-N(L423)-N(N423)&lt;0,"Check shares",IF(AND(P423&lt;&gt;"",Q423&lt;&gt;""),"Closed","Open")))</f>
        <v/>
      </c>
      <c r="V423" s="19" t="str">
        <f aca="false">IF(OR(F423="",P423=""),"",NETWORKDAYS(F423,P423,Lists!$F$5:$F$40)-1)</f>
        <v/>
      </c>
      <c r="W423" s="18" t="str">
        <f aca="false">IF(V423="","",IF(V423=0,"Same day","Overnight"))</f>
        <v/>
      </c>
      <c r="X423" s="18" t="str">
        <f aca="false">IF(OR(E423="",F423=""),"",IF(AND(E423&gt;=F423,OR(P423="",E423&lt;=P423)),"Yes","No"))</f>
        <v/>
      </c>
      <c r="Y423" s="20" t="str">
        <f aca="false">IF(A423="","",N(G423)-N(L423)-N(N423))</f>
        <v/>
      </c>
      <c r="Z423" s="21" t="str">
        <f aca="false">IF(OR(G423="",H423="",I423=""),"",ABS(H423-I423)*G423)</f>
        <v/>
      </c>
      <c r="AA423" s="22" t="str">
        <f aca="false">IF(OR(J423="",N(Z423)=0),"",ABS(J423-H423)/ABS(H423-I423))</f>
        <v/>
      </c>
      <c r="AB423" s="23" t="str">
        <f aca="false">IF(U423&lt;&gt;"Closed","",(N(L423)*N(M423)+N(N423)*N(O423)+Y423*Q423)/G423)</f>
        <v/>
      </c>
      <c r="AC423" s="24" t="str">
        <f aca="false">IF(U423&lt;&gt;"Closed","",IF($B423="Short",-1,1)*((N(M423)-H423)*N(L423)+(N(O423)-H423)*N(N423)+(Q423-H423)*Y423)-N(R423))</f>
        <v/>
      </c>
      <c r="AD423" s="25" t="str">
        <f aca="false">IF(OR(AC423="",N(Z423)=0),"",AC423/Z423)</f>
        <v/>
      </c>
      <c r="AE423" s="25" t="str">
        <f aca="false">IF(OR(S423="",N(Z423)=0),"",IF($B423="Short",-1,1)*(S423-H423)*G423/Z423)</f>
        <v/>
      </c>
      <c r="AF423" s="25" t="str">
        <f aca="false">IF(OR(T423="",N(Z423)=0),"",IF($B423="Short",-1,1)*(T423-H423)*G423/Z423)</f>
        <v/>
      </c>
      <c r="AG423" s="21" t="str">
        <f aca="false">IF(U423&lt;&gt;"Open","",Y423*MAX(0,IF($B423="Short",-1,1)*(H423-IF(K423="",I423,K423))))</f>
        <v/>
      </c>
      <c r="AH423" s="26" t="str">
        <f aca="false">IF(U423&lt;&gt;"Closed","",DATE(YEAR(P423),MONTH(P423),1))</f>
        <v/>
      </c>
      <c r="AI423" s="19" t="str">
        <f aca="false">IF(U423&lt;&gt;"Closed","",COUNTIFS($U$7:$U$506,"Closed",$P$7:$P$506,"&lt;"&amp;P423)+COUNTIFS($U$7:U423,"Closed",$P$7:P423,P423))</f>
        <v/>
      </c>
    </row>
    <row r="424" customFormat="false" ht="15" hidden="false" customHeight="false" outlineLevel="0" collapsed="false">
      <c r="A424" s="13"/>
      <c r="B424" s="14"/>
      <c r="C424" s="14"/>
      <c r="D424" s="14"/>
      <c r="E424" s="15"/>
      <c r="F424" s="15"/>
      <c r="G424" s="16"/>
      <c r="H424" s="17"/>
      <c r="I424" s="17"/>
      <c r="J424" s="17"/>
      <c r="K424" s="17"/>
      <c r="L424" s="16"/>
      <c r="M424" s="17"/>
      <c r="N424" s="16"/>
      <c r="O424" s="17"/>
      <c r="P424" s="15"/>
      <c r="Q424" s="17"/>
      <c r="R424" s="17"/>
      <c r="S424" s="17"/>
      <c r="T424" s="17"/>
      <c r="U424" s="18" t="str">
        <f aca="false">IF(A424="","",IF(N(G424)-N(L424)-N(N424)&lt;0,"Check shares",IF(AND(P424&lt;&gt;"",Q424&lt;&gt;""),"Closed","Open")))</f>
        <v/>
      </c>
      <c r="V424" s="19" t="str">
        <f aca="false">IF(OR(F424="",P424=""),"",NETWORKDAYS(F424,P424,Lists!$F$5:$F$40)-1)</f>
        <v/>
      </c>
      <c r="W424" s="18" t="str">
        <f aca="false">IF(V424="","",IF(V424=0,"Same day","Overnight"))</f>
        <v/>
      </c>
      <c r="X424" s="18" t="str">
        <f aca="false">IF(OR(E424="",F424=""),"",IF(AND(E424&gt;=F424,OR(P424="",E424&lt;=P424)),"Yes","No"))</f>
        <v/>
      </c>
      <c r="Y424" s="20" t="str">
        <f aca="false">IF(A424="","",N(G424)-N(L424)-N(N424))</f>
        <v/>
      </c>
      <c r="Z424" s="21" t="str">
        <f aca="false">IF(OR(G424="",H424="",I424=""),"",ABS(H424-I424)*G424)</f>
        <v/>
      </c>
      <c r="AA424" s="22" t="str">
        <f aca="false">IF(OR(J424="",N(Z424)=0),"",ABS(J424-H424)/ABS(H424-I424))</f>
        <v/>
      </c>
      <c r="AB424" s="23" t="str">
        <f aca="false">IF(U424&lt;&gt;"Closed","",(N(L424)*N(M424)+N(N424)*N(O424)+Y424*Q424)/G424)</f>
        <v/>
      </c>
      <c r="AC424" s="24" t="str">
        <f aca="false">IF(U424&lt;&gt;"Closed","",IF($B424="Short",-1,1)*((N(M424)-H424)*N(L424)+(N(O424)-H424)*N(N424)+(Q424-H424)*Y424)-N(R424))</f>
        <v/>
      </c>
      <c r="AD424" s="25" t="str">
        <f aca="false">IF(OR(AC424="",N(Z424)=0),"",AC424/Z424)</f>
        <v/>
      </c>
      <c r="AE424" s="25" t="str">
        <f aca="false">IF(OR(S424="",N(Z424)=0),"",IF($B424="Short",-1,1)*(S424-H424)*G424/Z424)</f>
        <v/>
      </c>
      <c r="AF424" s="25" t="str">
        <f aca="false">IF(OR(T424="",N(Z424)=0),"",IF($B424="Short",-1,1)*(T424-H424)*G424/Z424)</f>
        <v/>
      </c>
      <c r="AG424" s="21" t="str">
        <f aca="false">IF(U424&lt;&gt;"Open","",Y424*MAX(0,IF($B424="Short",-1,1)*(H424-IF(K424="",I424,K424))))</f>
        <v/>
      </c>
      <c r="AH424" s="26" t="str">
        <f aca="false">IF(U424&lt;&gt;"Closed","",DATE(YEAR(P424),MONTH(P424),1))</f>
        <v/>
      </c>
      <c r="AI424" s="19" t="str">
        <f aca="false">IF(U424&lt;&gt;"Closed","",COUNTIFS($U$7:$U$506,"Closed",$P$7:$P$506,"&lt;"&amp;P424)+COUNTIFS($U$7:U424,"Closed",$P$7:P424,P424))</f>
        <v/>
      </c>
    </row>
    <row r="425" customFormat="false" ht="15" hidden="false" customHeight="false" outlineLevel="0" collapsed="false">
      <c r="A425" s="13"/>
      <c r="B425" s="14"/>
      <c r="C425" s="14"/>
      <c r="D425" s="14"/>
      <c r="E425" s="15"/>
      <c r="F425" s="15"/>
      <c r="G425" s="16"/>
      <c r="H425" s="17"/>
      <c r="I425" s="17"/>
      <c r="J425" s="17"/>
      <c r="K425" s="17"/>
      <c r="L425" s="16"/>
      <c r="M425" s="17"/>
      <c r="N425" s="16"/>
      <c r="O425" s="17"/>
      <c r="P425" s="15"/>
      <c r="Q425" s="17"/>
      <c r="R425" s="17"/>
      <c r="S425" s="17"/>
      <c r="T425" s="17"/>
      <c r="U425" s="18" t="str">
        <f aca="false">IF(A425="","",IF(N(G425)-N(L425)-N(N425)&lt;0,"Check shares",IF(AND(P425&lt;&gt;"",Q425&lt;&gt;""),"Closed","Open")))</f>
        <v/>
      </c>
      <c r="V425" s="19" t="str">
        <f aca="false">IF(OR(F425="",P425=""),"",NETWORKDAYS(F425,P425,Lists!$F$5:$F$40)-1)</f>
        <v/>
      </c>
      <c r="W425" s="18" t="str">
        <f aca="false">IF(V425="","",IF(V425=0,"Same day","Overnight"))</f>
        <v/>
      </c>
      <c r="X425" s="18" t="str">
        <f aca="false">IF(OR(E425="",F425=""),"",IF(AND(E425&gt;=F425,OR(P425="",E425&lt;=P425)),"Yes","No"))</f>
        <v/>
      </c>
      <c r="Y425" s="20" t="str">
        <f aca="false">IF(A425="","",N(G425)-N(L425)-N(N425))</f>
        <v/>
      </c>
      <c r="Z425" s="21" t="str">
        <f aca="false">IF(OR(G425="",H425="",I425=""),"",ABS(H425-I425)*G425)</f>
        <v/>
      </c>
      <c r="AA425" s="22" t="str">
        <f aca="false">IF(OR(J425="",N(Z425)=0),"",ABS(J425-H425)/ABS(H425-I425))</f>
        <v/>
      </c>
      <c r="AB425" s="23" t="str">
        <f aca="false">IF(U425&lt;&gt;"Closed","",(N(L425)*N(M425)+N(N425)*N(O425)+Y425*Q425)/G425)</f>
        <v/>
      </c>
      <c r="AC425" s="24" t="str">
        <f aca="false">IF(U425&lt;&gt;"Closed","",IF($B425="Short",-1,1)*((N(M425)-H425)*N(L425)+(N(O425)-H425)*N(N425)+(Q425-H425)*Y425)-N(R425))</f>
        <v/>
      </c>
      <c r="AD425" s="25" t="str">
        <f aca="false">IF(OR(AC425="",N(Z425)=0),"",AC425/Z425)</f>
        <v/>
      </c>
      <c r="AE425" s="25" t="str">
        <f aca="false">IF(OR(S425="",N(Z425)=0),"",IF($B425="Short",-1,1)*(S425-H425)*G425/Z425)</f>
        <v/>
      </c>
      <c r="AF425" s="25" t="str">
        <f aca="false">IF(OR(T425="",N(Z425)=0),"",IF($B425="Short",-1,1)*(T425-H425)*G425/Z425)</f>
        <v/>
      </c>
      <c r="AG425" s="21" t="str">
        <f aca="false">IF(U425&lt;&gt;"Open","",Y425*MAX(0,IF($B425="Short",-1,1)*(H425-IF(K425="",I425,K425))))</f>
        <v/>
      </c>
      <c r="AH425" s="26" t="str">
        <f aca="false">IF(U425&lt;&gt;"Closed","",DATE(YEAR(P425),MONTH(P425),1))</f>
        <v/>
      </c>
      <c r="AI425" s="19" t="str">
        <f aca="false">IF(U425&lt;&gt;"Closed","",COUNTIFS($U$7:$U$506,"Closed",$P$7:$P$506,"&lt;"&amp;P425)+COUNTIFS($U$7:U425,"Closed",$P$7:P425,P425))</f>
        <v/>
      </c>
    </row>
    <row r="426" customFormat="false" ht="15" hidden="false" customHeight="false" outlineLevel="0" collapsed="false">
      <c r="A426" s="13"/>
      <c r="B426" s="14"/>
      <c r="C426" s="14"/>
      <c r="D426" s="14"/>
      <c r="E426" s="15"/>
      <c r="F426" s="15"/>
      <c r="G426" s="16"/>
      <c r="H426" s="17"/>
      <c r="I426" s="17"/>
      <c r="J426" s="17"/>
      <c r="K426" s="17"/>
      <c r="L426" s="16"/>
      <c r="M426" s="17"/>
      <c r="N426" s="16"/>
      <c r="O426" s="17"/>
      <c r="P426" s="15"/>
      <c r="Q426" s="17"/>
      <c r="R426" s="17"/>
      <c r="S426" s="17"/>
      <c r="T426" s="17"/>
      <c r="U426" s="18" t="str">
        <f aca="false">IF(A426="","",IF(N(G426)-N(L426)-N(N426)&lt;0,"Check shares",IF(AND(P426&lt;&gt;"",Q426&lt;&gt;""),"Closed","Open")))</f>
        <v/>
      </c>
      <c r="V426" s="19" t="str">
        <f aca="false">IF(OR(F426="",P426=""),"",NETWORKDAYS(F426,P426,Lists!$F$5:$F$40)-1)</f>
        <v/>
      </c>
      <c r="W426" s="18" t="str">
        <f aca="false">IF(V426="","",IF(V426=0,"Same day","Overnight"))</f>
        <v/>
      </c>
      <c r="X426" s="18" t="str">
        <f aca="false">IF(OR(E426="",F426=""),"",IF(AND(E426&gt;=F426,OR(P426="",E426&lt;=P426)),"Yes","No"))</f>
        <v/>
      </c>
      <c r="Y426" s="20" t="str">
        <f aca="false">IF(A426="","",N(G426)-N(L426)-N(N426))</f>
        <v/>
      </c>
      <c r="Z426" s="21" t="str">
        <f aca="false">IF(OR(G426="",H426="",I426=""),"",ABS(H426-I426)*G426)</f>
        <v/>
      </c>
      <c r="AA426" s="22" t="str">
        <f aca="false">IF(OR(J426="",N(Z426)=0),"",ABS(J426-H426)/ABS(H426-I426))</f>
        <v/>
      </c>
      <c r="AB426" s="23" t="str">
        <f aca="false">IF(U426&lt;&gt;"Closed","",(N(L426)*N(M426)+N(N426)*N(O426)+Y426*Q426)/G426)</f>
        <v/>
      </c>
      <c r="AC426" s="24" t="str">
        <f aca="false">IF(U426&lt;&gt;"Closed","",IF($B426="Short",-1,1)*((N(M426)-H426)*N(L426)+(N(O426)-H426)*N(N426)+(Q426-H426)*Y426)-N(R426))</f>
        <v/>
      </c>
      <c r="AD426" s="25" t="str">
        <f aca="false">IF(OR(AC426="",N(Z426)=0),"",AC426/Z426)</f>
        <v/>
      </c>
      <c r="AE426" s="25" t="str">
        <f aca="false">IF(OR(S426="",N(Z426)=0),"",IF($B426="Short",-1,1)*(S426-H426)*G426/Z426)</f>
        <v/>
      </c>
      <c r="AF426" s="25" t="str">
        <f aca="false">IF(OR(T426="",N(Z426)=0),"",IF($B426="Short",-1,1)*(T426-H426)*G426/Z426)</f>
        <v/>
      </c>
      <c r="AG426" s="21" t="str">
        <f aca="false">IF(U426&lt;&gt;"Open","",Y426*MAX(0,IF($B426="Short",-1,1)*(H426-IF(K426="",I426,K426))))</f>
        <v/>
      </c>
      <c r="AH426" s="26" t="str">
        <f aca="false">IF(U426&lt;&gt;"Closed","",DATE(YEAR(P426),MONTH(P426),1))</f>
        <v/>
      </c>
      <c r="AI426" s="19" t="str">
        <f aca="false">IF(U426&lt;&gt;"Closed","",COUNTIFS($U$7:$U$506,"Closed",$P$7:$P$506,"&lt;"&amp;P426)+COUNTIFS($U$7:U426,"Closed",$P$7:P426,P426))</f>
        <v/>
      </c>
    </row>
    <row r="427" customFormat="false" ht="15" hidden="false" customHeight="false" outlineLevel="0" collapsed="false">
      <c r="A427" s="13"/>
      <c r="B427" s="14"/>
      <c r="C427" s="14"/>
      <c r="D427" s="14"/>
      <c r="E427" s="15"/>
      <c r="F427" s="15"/>
      <c r="G427" s="16"/>
      <c r="H427" s="17"/>
      <c r="I427" s="17"/>
      <c r="J427" s="17"/>
      <c r="K427" s="17"/>
      <c r="L427" s="16"/>
      <c r="M427" s="17"/>
      <c r="N427" s="16"/>
      <c r="O427" s="17"/>
      <c r="P427" s="15"/>
      <c r="Q427" s="17"/>
      <c r="R427" s="17"/>
      <c r="S427" s="17"/>
      <c r="T427" s="17"/>
      <c r="U427" s="18" t="str">
        <f aca="false">IF(A427="","",IF(N(G427)-N(L427)-N(N427)&lt;0,"Check shares",IF(AND(P427&lt;&gt;"",Q427&lt;&gt;""),"Closed","Open")))</f>
        <v/>
      </c>
      <c r="V427" s="19" t="str">
        <f aca="false">IF(OR(F427="",P427=""),"",NETWORKDAYS(F427,P427,Lists!$F$5:$F$40)-1)</f>
        <v/>
      </c>
      <c r="W427" s="18" t="str">
        <f aca="false">IF(V427="","",IF(V427=0,"Same day","Overnight"))</f>
        <v/>
      </c>
      <c r="X427" s="18" t="str">
        <f aca="false">IF(OR(E427="",F427=""),"",IF(AND(E427&gt;=F427,OR(P427="",E427&lt;=P427)),"Yes","No"))</f>
        <v/>
      </c>
      <c r="Y427" s="20" t="str">
        <f aca="false">IF(A427="","",N(G427)-N(L427)-N(N427))</f>
        <v/>
      </c>
      <c r="Z427" s="21" t="str">
        <f aca="false">IF(OR(G427="",H427="",I427=""),"",ABS(H427-I427)*G427)</f>
        <v/>
      </c>
      <c r="AA427" s="22" t="str">
        <f aca="false">IF(OR(J427="",N(Z427)=0),"",ABS(J427-H427)/ABS(H427-I427))</f>
        <v/>
      </c>
      <c r="AB427" s="23" t="str">
        <f aca="false">IF(U427&lt;&gt;"Closed","",(N(L427)*N(M427)+N(N427)*N(O427)+Y427*Q427)/G427)</f>
        <v/>
      </c>
      <c r="AC427" s="24" t="str">
        <f aca="false">IF(U427&lt;&gt;"Closed","",IF($B427="Short",-1,1)*((N(M427)-H427)*N(L427)+(N(O427)-H427)*N(N427)+(Q427-H427)*Y427)-N(R427))</f>
        <v/>
      </c>
      <c r="AD427" s="25" t="str">
        <f aca="false">IF(OR(AC427="",N(Z427)=0),"",AC427/Z427)</f>
        <v/>
      </c>
      <c r="AE427" s="25" t="str">
        <f aca="false">IF(OR(S427="",N(Z427)=0),"",IF($B427="Short",-1,1)*(S427-H427)*G427/Z427)</f>
        <v/>
      </c>
      <c r="AF427" s="25" t="str">
        <f aca="false">IF(OR(T427="",N(Z427)=0),"",IF($B427="Short",-1,1)*(T427-H427)*G427/Z427)</f>
        <v/>
      </c>
      <c r="AG427" s="21" t="str">
        <f aca="false">IF(U427&lt;&gt;"Open","",Y427*MAX(0,IF($B427="Short",-1,1)*(H427-IF(K427="",I427,K427))))</f>
        <v/>
      </c>
      <c r="AH427" s="26" t="str">
        <f aca="false">IF(U427&lt;&gt;"Closed","",DATE(YEAR(P427),MONTH(P427),1))</f>
        <v/>
      </c>
      <c r="AI427" s="19" t="str">
        <f aca="false">IF(U427&lt;&gt;"Closed","",COUNTIFS($U$7:$U$506,"Closed",$P$7:$P$506,"&lt;"&amp;P427)+COUNTIFS($U$7:U427,"Closed",$P$7:P427,P427))</f>
        <v/>
      </c>
    </row>
    <row r="428" customFormat="false" ht="15" hidden="false" customHeight="false" outlineLevel="0" collapsed="false">
      <c r="A428" s="13"/>
      <c r="B428" s="14"/>
      <c r="C428" s="14"/>
      <c r="D428" s="14"/>
      <c r="E428" s="15"/>
      <c r="F428" s="15"/>
      <c r="G428" s="16"/>
      <c r="H428" s="17"/>
      <c r="I428" s="17"/>
      <c r="J428" s="17"/>
      <c r="K428" s="17"/>
      <c r="L428" s="16"/>
      <c r="M428" s="17"/>
      <c r="N428" s="16"/>
      <c r="O428" s="17"/>
      <c r="P428" s="15"/>
      <c r="Q428" s="17"/>
      <c r="R428" s="17"/>
      <c r="S428" s="17"/>
      <c r="T428" s="17"/>
      <c r="U428" s="18" t="str">
        <f aca="false">IF(A428="","",IF(N(G428)-N(L428)-N(N428)&lt;0,"Check shares",IF(AND(P428&lt;&gt;"",Q428&lt;&gt;""),"Closed","Open")))</f>
        <v/>
      </c>
      <c r="V428" s="19" t="str">
        <f aca="false">IF(OR(F428="",P428=""),"",NETWORKDAYS(F428,P428,Lists!$F$5:$F$40)-1)</f>
        <v/>
      </c>
      <c r="W428" s="18" t="str">
        <f aca="false">IF(V428="","",IF(V428=0,"Same day","Overnight"))</f>
        <v/>
      </c>
      <c r="X428" s="18" t="str">
        <f aca="false">IF(OR(E428="",F428=""),"",IF(AND(E428&gt;=F428,OR(P428="",E428&lt;=P428)),"Yes","No"))</f>
        <v/>
      </c>
      <c r="Y428" s="20" t="str">
        <f aca="false">IF(A428="","",N(G428)-N(L428)-N(N428))</f>
        <v/>
      </c>
      <c r="Z428" s="21" t="str">
        <f aca="false">IF(OR(G428="",H428="",I428=""),"",ABS(H428-I428)*G428)</f>
        <v/>
      </c>
      <c r="AA428" s="22" t="str">
        <f aca="false">IF(OR(J428="",N(Z428)=0),"",ABS(J428-H428)/ABS(H428-I428))</f>
        <v/>
      </c>
      <c r="AB428" s="23" t="str">
        <f aca="false">IF(U428&lt;&gt;"Closed","",(N(L428)*N(M428)+N(N428)*N(O428)+Y428*Q428)/G428)</f>
        <v/>
      </c>
      <c r="AC428" s="24" t="str">
        <f aca="false">IF(U428&lt;&gt;"Closed","",IF($B428="Short",-1,1)*((N(M428)-H428)*N(L428)+(N(O428)-H428)*N(N428)+(Q428-H428)*Y428)-N(R428))</f>
        <v/>
      </c>
      <c r="AD428" s="25" t="str">
        <f aca="false">IF(OR(AC428="",N(Z428)=0),"",AC428/Z428)</f>
        <v/>
      </c>
      <c r="AE428" s="25" t="str">
        <f aca="false">IF(OR(S428="",N(Z428)=0),"",IF($B428="Short",-1,1)*(S428-H428)*G428/Z428)</f>
        <v/>
      </c>
      <c r="AF428" s="25" t="str">
        <f aca="false">IF(OR(T428="",N(Z428)=0),"",IF($B428="Short",-1,1)*(T428-H428)*G428/Z428)</f>
        <v/>
      </c>
      <c r="AG428" s="21" t="str">
        <f aca="false">IF(U428&lt;&gt;"Open","",Y428*MAX(0,IF($B428="Short",-1,1)*(H428-IF(K428="",I428,K428))))</f>
        <v/>
      </c>
      <c r="AH428" s="26" t="str">
        <f aca="false">IF(U428&lt;&gt;"Closed","",DATE(YEAR(P428),MONTH(P428),1))</f>
        <v/>
      </c>
      <c r="AI428" s="19" t="str">
        <f aca="false">IF(U428&lt;&gt;"Closed","",COUNTIFS($U$7:$U$506,"Closed",$P$7:$P$506,"&lt;"&amp;P428)+COUNTIFS($U$7:U428,"Closed",$P$7:P428,P428))</f>
        <v/>
      </c>
    </row>
    <row r="429" customFormat="false" ht="15" hidden="false" customHeight="false" outlineLevel="0" collapsed="false">
      <c r="A429" s="13"/>
      <c r="B429" s="14"/>
      <c r="C429" s="14"/>
      <c r="D429" s="14"/>
      <c r="E429" s="15"/>
      <c r="F429" s="15"/>
      <c r="G429" s="16"/>
      <c r="H429" s="17"/>
      <c r="I429" s="17"/>
      <c r="J429" s="17"/>
      <c r="K429" s="17"/>
      <c r="L429" s="16"/>
      <c r="M429" s="17"/>
      <c r="N429" s="16"/>
      <c r="O429" s="17"/>
      <c r="P429" s="15"/>
      <c r="Q429" s="17"/>
      <c r="R429" s="17"/>
      <c r="S429" s="17"/>
      <c r="T429" s="17"/>
      <c r="U429" s="18" t="str">
        <f aca="false">IF(A429="","",IF(N(G429)-N(L429)-N(N429)&lt;0,"Check shares",IF(AND(P429&lt;&gt;"",Q429&lt;&gt;""),"Closed","Open")))</f>
        <v/>
      </c>
      <c r="V429" s="19" t="str">
        <f aca="false">IF(OR(F429="",P429=""),"",NETWORKDAYS(F429,P429,Lists!$F$5:$F$40)-1)</f>
        <v/>
      </c>
      <c r="W429" s="18" t="str">
        <f aca="false">IF(V429="","",IF(V429=0,"Same day","Overnight"))</f>
        <v/>
      </c>
      <c r="X429" s="18" t="str">
        <f aca="false">IF(OR(E429="",F429=""),"",IF(AND(E429&gt;=F429,OR(P429="",E429&lt;=P429)),"Yes","No"))</f>
        <v/>
      </c>
      <c r="Y429" s="20" t="str">
        <f aca="false">IF(A429="","",N(G429)-N(L429)-N(N429))</f>
        <v/>
      </c>
      <c r="Z429" s="21" t="str">
        <f aca="false">IF(OR(G429="",H429="",I429=""),"",ABS(H429-I429)*G429)</f>
        <v/>
      </c>
      <c r="AA429" s="22" t="str">
        <f aca="false">IF(OR(J429="",N(Z429)=0),"",ABS(J429-H429)/ABS(H429-I429))</f>
        <v/>
      </c>
      <c r="AB429" s="23" t="str">
        <f aca="false">IF(U429&lt;&gt;"Closed","",(N(L429)*N(M429)+N(N429)*N(O429)+Y429*Q429)/G429)</f>
        <v/>
      </c>
      <c r="AC429" s="24" t="str">
        <f aca="false">IF(U429&lt;&gt;"Closed","",IF($B429="Short",-1,1)*((N(M429)-H429)*N(L429)+(N(O429)-H429)*N(N429)+(Q429-H429)*Y429)-N(R429))</f>
        <v/>
      </c>
      <c r="AD429" s="25" t="str">
        <f aca="false">IF(OR(AC429="",N(Z429)=0),"",AC429/Z429)</f>
        <v/>
      </c>
      <c r="AE429" s="25" t="str">
        <f aca="false">IF(OR(S429="",N(Z429)=0),"",IF($B429="Short",-1,1)*(S429-H429)*G429/Z429)</f>
        <v/>
      </c>
      <c r="AF429" s="25" t="str">
        <f aca="false">IF(OR(T429="",N(Z429)=0),"",IF($B429="Short",-1,1)*(T429-H429)*G429/Z429)</f>
        <v/>
      </c>
      <c r="AG429" s="21" t="str">
        <f aca="false">IF(U429&lt;&gt;"Open","",Y429*MAX(0,IF($B429="Short",-1,1)*(H429-IF(K429="",I429,K429))))</f>
        <v/>
      </c>
      <c r="AH429" s="26" t="str">
        <f aca="false">IF(U429&lt;&gt;"Closed","",DATE(YEAR(P429),MONTH(P429),1))</f>
        <v/>
      </c>
      <c r="AI429" s="19" t="str">
        <f aca="false">IF(U429&lt;&gt;"Closed","",COUNTIFS($U$7:$U$506,"Closed",$P$7:$P$506,"&lt;"&amp;P429)+COUNTIFS($U$7:U429,"Closed",$P$7:P429,P429))</f>
        <v/>
      </c>
    </row>
    <row r="430" customFormat="false" ht="15" hidden="false" customHeight="false" outlineLevel="0" collapsed="false">
      <c r="A430" s="13"/>
      <c r="B430" s="14"/>
      <c r="C430" s="14"/>
      <c r="D430" s="14"/>
      <c r="E430" s="15"/>
      <c r="F430" s="15"/>
      <c r="G430" s="16"/>
      <c r="H430" s="17"/>
      <c r="I430" s="17"/>
      <c r="J430" s="17"/>
      <c r="K430" s="17"/>
      <c r="L430" s="16"/>
      <c r="M430" s="17"/>
      <c r="N430" s="16"/>
      <c r="O430" s="17"/>
      <c r="P430" s="15"/>
      <c r="Q430" s="17"/>
      <c r="R430" s="17"/>
      <c r="S430" s="17"/>
      <c r="T430" s="17"/>
      <c r="U430" s="18" t="str">
        <f aca="false">IF(A430="","",IF(N(G430)-N(L430)-N(N430)&lt;0,"Check shares",IF(AND(P430&lt;&gt;"",Q430&lt;&gt;""),"Closed","Open")))</f>
        <v/>
      </c>
      <c r="V430" s="19" t="str">
        <f aca="false">IF(OR(F430="",P430=""),"",NETWORKDAYS(F430,P430,Lists!$F$5:$F$40)-1)</f>
        <v/>
      </c>
      <c r="W430" s="18" t="str">
        <f aca="false">IF(V430="","",IF(V430=0,"Same day","Overnight"))</f>
        <v/>
      </c>
      <c r="X430" s="18" t="str">
        <f aca="false">IF(OR(E430="",F430=""),"",IF(AND(E430&gt;=F430,OR(P430="",E430&lt;=P430)),"Yes","No"))</f>
        <v/>
      </c>
      <c r="Y430" s="20" t="str">
        <f aca="false">IF(A430="","",N(G430)-N(L430)-N(N430))</f>
        <v/>
      </c>
      <c r="Z430" s="21" t="str">
        <f aca="false">IF(OR(G430="",H430="",I430=""),"",ABS(H430-I430)*G430)</f>
        <v/>
      </c>
      <c r="AA430" s="22" t="str">
        <f aca="false">IF(OR(J430="",N(Z430)=0),"",ABS(J430-H430)/ABS(H430-I430))</f>
        <v/>
      </c>
      <c r="AB430" s="23" t="str">
        <f aca="false">IF(U430&lt;&gt;"Closed","",(N(L430)*N(M430)+N(N430)*N(O430)+Y430*Q430)/G430)</f>
        <v/>
      </c>
      <c r="AC430" s="24" t="str">
        <f aca="false">IF(U430&lt;&gt;"Closed","",IF($B430="Short",-1,1)*((N(M430)-H430)*N(L430)+(N(O430)-H430)*N(N430)+(Q430-H430)*Y430)-N(R430))</f>
        <v/>
      </c>
      <c r="AD430" s="25" t="str">
        <f aca="false">IF(OR(AC430="",N(Z430)=0),"",AC430/Z430)</f>
        <v/>
      </c>
      <c r="AE430" s="25" t="str">
        <f aca="false">IF(OR(S430="",N(Z430)=0),"",IF($B430="Short",-1,1)*(S430-H430)*G430/Z430)</f>
        <v/>
      </c>
      <c r="AF430" s="25" t="str">
        <f aca="false">IF(OR(T430="",N(Z430)=0),"",IF($B430="Short",-1,1)*(T430-H430)*G430/Z430)</f>
        <v/>
      </c>
      <c r="AG430" s="21" t="str">
        <f aca="false">IF(U430&lt;&gt;"Open","",Y430*MAX(0,IF($B430="Short",-1,1)*(H430-IF(K430="",I430,K430))))</f>
        <v/>
      </c>
      <c r="AH430" s="26" t="str">
        <f aca="false">IF(U430&lt;&gt;"Closed","",DATE(YEAR(P430),MONTH(P430),1))</f>
        <v/>
      </c>
      <c r="AI430" s="19" t="str">
        <f aca="false">IF(U430&lt;&gt;"Closed","",COUNTIFS($U$7:$U$506,"Closed",$P$7:$P$506,"&lt;"&amp;P430)+COUNTIFS($U$7:U430,"Closed",$P$7:P430,P430))</f>
        <v/>
      </c>
    </row>
    <row r="431" customFormat="false" ht="15" hidden="false" customHeight="false" outlineLevel="0" collapsed="false">
      <c r="A431" s="13"/>
      <c r="B431" s="14"/>
      <c r="C431" s="14"/>
      <c r="D431" s="14"/>
      <c r="E431" s="15"/>
      <c r="F431" s="15"/>
      <c r="G431" s="16"/>
      <c r="H431" s="17"/>
      <c r="I431" s="17"/>
      <c r="J431" s="17"/>
      <c r="K431" s="17"/>
      <c r="L431" s="16"/>
      <c r="M431" s="17"/>
      <c r="N431" s="16"/>
      <c r="O431" s="17"/>
      <c r="P431" s="15"/>
      <c r="Q431" s="17"/>
      <c r="R431" s="17"/>
      <c r="S431" s="17"/>
      <c r="T431" s="17"/>
      <c r="U431" s="18" t="str">
        <f aca="false">IF(A431="","",IF(N(G431)-N(L431)-N(N431)&lt;0,"Check shares",IF(AND(P431&lt;&gt;"",Q431&lt;&gt;""),"Closed","Open")))</f>
        <v/>
      </c>
      <c r="V431" s="19" t="str">
        <f aca="false">IF(OR(F431="",P431=""),"",NETWORKDAYS(F431,P431,Lists!$F$5:$F$40)-1)</f>
        <v/>
      </c>
      <c r="W431" s="18" t="str">
        <f aca="false">IF(V431="","",IF(V431=0,"Same day","Overnight"))</f>
        <v/>
      </c>
      <c r="X431" s="18" t="str">
        <f aca="false">IF(OR(E431="",F431=""),"",IF(AND(E431&gt;=F431,OR(P431="",E431&lt;=P431)),"Yes","No"))</f>
        <v/>
      </c>
      <c r="Y431" s="20" t="str">
        <f aca="false">IF(A431="","",N(G431)-N(L431)-N(N431))</f>
        <v/>
      </c>
      <c r="Z431" s="21" t="str">
        <f aca="false">IF(OR(G431="",H431="",I431=""),"",ABS(H431-I431)*G431)</f>
        <v/>
      </c>
      <c r="AA431" s="22" t="str">
        <f aca="false">IF(OR(J431="",N(Z431)=0),"",ABS(J431-H431)/ABS(H431-I431))</f>
        <v/>
      </c>
      <c r="AB431" s="23" t="str">
        <f aca="false">IF(U431&lt;&gt;"Closed","",(N(L431)*N(M431)+N(N431)*N(O431)+Y431*Q431)/G431)</f>
        <v/>
      </c>
      <c r="AC431" s="24" t="str">
        <f aca="false">IF(U431&lt;&gt;"Closed","",IF($B431="Short",-1,1)*((N(M431)-H431)*N(L431)+(N(O431)-H431)*N(N431)+(Q431-H431)*Y431)-N(R431))</f>
        <v/>
      </c>
      <c r="AD431" s="25" t="str">
        <f aca="false">IF(OR(AC431="",N(Z431)=0),"",AC431/Z431)</f>
        <v/>
      </c>
      <c r="AE431" s="25" t="str">
        <f aca="false">IF(OR(S431="",N(Z431)=0),"",IF($B431="Short",-1,1)*(S431-H431)*G431/Z431)</f>
        <v/>
      </c>
      <c r="AF431" s="25" t="str">
        <f aca="false">IF(OR(T431="",N(Z431)=0),"",IF($B431="Short",-1,1)*(T431-H431)*G431/Z431)</f>
        <v/>
      </c>
      <c r="AG431" s="21" t="str">
        <f aca="false">IF(U431&lt;&gt;"Open","",Y431*MAX(0,IF($B431="Short",-1,1)*(H431-IF(K431="",I431,K431))))</f>
        <v/>
      </c>
      <c r="AH431" s="26" t="str">
        <f aca="false">IF(U431&lt;&gt;"Closed","",DATE(YEAR(P431),MONTH(P431),1))</f>
        <v/>
      </c>
      <c r="AI431" s="19" t="str">
        <f aca="false">IF(U431&lt;&gt;"Closed","",COUNTIFS($U$7:$U$506,"Closed",$P$7:$P$506,"&lt;"&amp;P431)+COUNTIFS($U$7:U431,"Closed",$P$7:P431,P431))</f>
        <v/>
      </c>
    </row>
    <row r="432" customFormat="false" ht="15" hidden="false" customHeight="false" outlineLevel="0" collapsed="false">
      <c r="A432" s="13"/>
      <c r="B432" s="14"/>
      <c r="C432" s="14"/>
      <c r="D432" s="14"/>
      <c r="E432" s="15"/>
      <c r="F432" s="15"/>
      <c r="G432" s="16"/>
      <c r="H432" s="17"/>
      <c r="I432" s="17"/>
      <c r="J432" s="17"/>
      <c r="K432" s="17"/>
      <c r="L432" s="16"/>
      <c r="M432" s="17"/>
      <c r="N432" s="16"/>
      <c r="O432" s="17"/>
      <c r="P432" s="15"/>
      <c r="Q432" s="17"/>
      <c r="R432" s="17"/>
      <c r="S432" s="17"/>
      <c r="T432" s="17"/>
      <c r="U432" s="18" t="str">
        <f aca="false">IF(A432="","",IF(N(G432)-N(L432)-N(N432)&lt;0,"Check shares",IF(AND(P432&lt;&gt;"",Q432&lt;&gt;""),"Closed","Open")))</f>
        <v/>
      </c>
      <c r="V432" s="19" t="str">
        <f aca="false">IF(OR(F432="",P432=""),"",NETWORKDAYS(F432,P432,Lists!$F$5:$F$40)-1)</f>
        <v/>
      </c>
      <c r="W432" s="18" t="str">
        <f aca="false">IF(V432="","",IF(V432=0,"Same day","Overnight"))</f>
        <v/>
      </c>
      <c r="X432" s="18" t="str">
        <f aca="false">IF(OR(E432="",F432=""),"",IF(AND(E432&gt;=F432,OR(P432="",E432&lt;=P432)),"Yes","No"))</f>
        <v/>
      </c>
      <c r="Y432" s="20" t="str">
        <f aca="false">IF(A432="","",N(G432)-N(L432)-N(N432))</f>
        <v/>
      </c>
      <c r="Z432" s="21" t="str">
        <f aca="false">IF(OR(G432="",H432="",I432=""),"",ABS(H432-I432)*G432)</f>
        <v/>
      </c>
      <c r="AA432" s="22" t="str">
        <f aca="false">IF(OR(J432="",N(Z432)=0),"",ABS(J432-H432)/ABS(H432-I432))</f>
        <v/>
      </c>
      <c r="AB432" s="23" t="str">
        <f aca="false">IF(U432&lt;&gt;"Closed","",(N(L432)*N(M432)+N(N432)*N(O432)+Y432*Q432)/G432)</f>
        <v/>
      </c>
      <c r="AC432" s="24" t="str">
        <f aca="false">IF(U432&lt;&gt;"Closed","",IF($B432="Short",-1,1)*((N(M432)-H432)*N(L432)+(N(O432)-H432)*N(N432)+(Q432-H432)*Y432)-N(R432))</f>
        <v/>
      </c>
      <c r="AD432" s="25" t="str">
        <f aca="false">IF(OR(AC432="",N(Z432)=0),"",AC432/Z432)</f>
        <v/>
      </c>
      <c r="AE432" s="25" t="str">
        <f aca="false">IF(OR(S432="",N(Z432)=0),"",IF($B432="Short",-1,1)*(S432-H432)*G432/Z432)</f>
        <v/>
      </c>
      <c r="AF432" s="25" t="str">
        <f aca="false">IF(OR(T432="",N(Z432)=0),"",IF($B432="Short",-1,1)*(T432-H432)*G432/Z432)</f>
        <v/>
      </c>
      <c r="AG432" s="21" t="str">
        <f aca="false">IF(U432&lt;&gt;"Open","",Y432*MAX(0,IF($B432="Short",-1,1)*(H432-IF(K432="",I432,K432))))</f>
        <v/>
      </c>
      <c r="AH432" s="26" t="str">
        <f aca="false">IF(U432&lt;&gt;"Closed","",DATE(YEAR(P432),MONTH(P432),1))</f>
        <v/>
      </c>
      <c r="AI432" s="19" t="str">
        <f aca="false">IF(U432&lt;&gt;"Closed","",COUNTIFS($U$7:$U$506,"Closed",$P$7:$P$506,"&lt;"&amp;P432)+COUNTIFS($U$7:U432,"Closed",$P$7:P432,P432))</f>
        <v/>
      </c>
    </row>
    <row r="433" customFormat="false" ht="15" hidden="false" customHeight="false" outlineLevel="0" collapsed="false">
      <c r="A433" s="13"/>
      <c r="B433" s="14"/>
      <c r="C433" s="14"/>
      <c r="D433" s="14"/>
      <c r="E433" s="15"/>
      <c r="F433" s="15"/>
      <c r="G433" s="16"/>
      <c r="H433" s="17"/>
      <c r="I433" s="17"/>
      <c r="J433" s="17"/>
      <c r="K433" s="17"/>
      <c r="L433" s="16"/>
      <c r="M433" s="17"/>
      <c r="N433" s="16"/>
      <c r="O433" s="17"/>
      <c r="P433" s="15"/>
      <c r="Q433" s="17"/>
      <c r="R433" s="17"/>
      <c r="S433" s="17"/>
      <c r="T433" s="17"/>
      <c r="U433" s="18" t="str">
        <f aca="false">IF(A433="","",IF(N(G433)-N(L433)-N(N433)&lt;0,"Check shares",IF(AND(P433&lt;&gt;"",Q433&lt;&gt;""),"Closed","Open")))</f>
        <v/>
      </c>
      <c r="V433" s="19" t="str">
        <f aca="false">IF(OR(F433="",P433=""),"",NETWORKDAYS(F433,P433,Lists!$F$5:$F$40)-1)</f>
        <v/>
      </c>
      <c r="W433" s="18" t="str">
        <f aca="false">IF(V433="","",IF(V433=0,"Same day","Overnight"))</f>
        <v/>
      </c>
      <c r="X433" s="18" t="str">
        <f aca="false">IF(OR(E433="",F433=""),"",IF(AND(E433&gt;=F433,OR(P433="",E433&lt;=P433)),"Yes","No"))</f>
        <v/>
      </c>
      <c r="Y433" s="20" t="str">
        <f aca="false">IF(A433="","",N(G433)-N(L433)-N(N433))</f>
        <v/>
      </c>
      <c r="Z433" s="21" t="str">
        <f aca="false">IF(OR(G433="",H433="",I433=""),"",ABS(H433-I433)*G433)</f>
        <v/>
      </c>
      <c r="AA433" s="22" t="str">
        <f aca="false">IF(OR(J433="",N(Z433)=0),"",ABS(J433-H433)/ABS(H433-I433))</f>
        <v/>
      </c>
      <c r="AB433" s="23" t="str">
        <f aca="false">IF(U433&lt;&gt;"Closed","",(N(L433)*N(M433)+N(N433)*N(O433)+Y433*Q433)/G433)</f>
        <v/>
      </c>
      <c r="AC433" s="24" t="str">
        <f aca="false">IF(U433&lt;&gt;"Closed","",IF($B433="Short",-1,1)*((N(M433)-H433)*N(L433)+(N(O433)-H433)*N(N433)+(Q433-H433)*Y433)-N(R433))</f>
        <v/>
      </c>
      <c r="AD433" s="25" t="str">
        <f aca="false">IF(OR(AC433="",N(Z433)=0),"",AC433/Z433)</f>
        <v/>
      </c>
      <c r="AE433" s="25" t="str">
        <f aca="false">IF(OR(S433="",N(Z433)=0),"",IF($B433="Short",-1,1)*(S433-H433)*G433/Z433)</f>
        <v/>
      </c>
      <c r="AF433" s="25" t="str">
        <f aca="false">IF(OR(T433="",N(Z433)=0),"",IF($B433="Short",-1,1)*(T433-H433)*G433/Z433)</f>
        <v/>
      </c>
      <c r="AG433" s="21" t="str">
        <f aca="false">IF(U433&lt;&gt;"Open","",Y433*MAX(0,IF($B433="Short",-1,1)*(H433-IF(K433="",I433,K433))))</f>
        <v/>
      </c>
      <c r="AH433" s="26" t="str">
        <f aca="false">IF(U433&lt;&gt;"Closed","",DATE(YEAR(P433),MONTH(P433),1))</f>
        <v/>
      </c>
      <c r="AI433" s="19" t="str">
        <f aca="false">IF(U433&lt;&gt;"Closed","",COUNTIFS($U$7:$U$506,"Closed",$P$7:$P$506,"&lt;"&amp;P433)+COUNTIFS($U$7:U433,"Closed",$P$7:P433,P433))</f>
        <v/>
      </c>
    </row>
    <row r="434" customFormat="false" ht="15" hidden="false" customHeight="false" outlineLevel="0" collapsed="false">
      <c r="A434" s="13"/>
      <c r="B434" s="14"/>
      <c r="C434" s="14"/>
      <c r="D434" s="14"/>
      <c r="E434" s="15"/>
      <c r="F434" s="15"/>
      <c r="G434" s="16"/>
      <c r="H434" s="17"/>
      <c r="I434" s="17"/>
      <c r="J434" s="17"/>
      <c r="K434" s="17"/>
      <c r="L434" s="16"/>
      <c r="M434" s="17"/>
      <c r="N434" s="16"/>
      <c r="O434" s="17"/>
      <c r="P434" s="15"/>
      <c r="Q434" s="17"/>
      <c r="R434" s="17"/>
      <c r="S434" s="17"/>
      <c r="T434" s="17"/>
      <c r="U434" s="18" t="str">
        <f aca="false">IF(A434="","",IF(N(G434)-N(L434)-N(N434)&lt;0,"Check shares",IF(AND(P434&lt;&gt;"",Q434&lt;&gt;""),"Closed","Open")))</f>
        <v/>
      </c>
      <c r="V434" s="19" t="str">
        <f aca="false">IF(OR(F434="",P434=""),"",NETWORKDAYS(F434,P434,Lists!$F$5:$F$40)-1)</f>
        <v/>
      </c>
      <c r="W434" s="18" t="str">
        <f aca="false">IF(V434="","",IF(V434=0,"Same day","Overnight"))</f>
        <v/>
      </c>
      <c r="X434" s="18" t="str">
        <f aca="false">IF(OR(E434="",F434=""),"",IF(AND(E434&gt;=F434,OR(P434="",E434&lt;=P434)),"Yes","No"))</f>
        <v/>
      </c>
      <c r="Y434" s="20" t="str">
        <f aca="false">IF(A434="","",N(G434)-N(L434)-N(N434))</f>
        <v/>
      </c>
      <c r="Z434" s="21" t="str">
        <f aca="false">IF(OR(G434="",H434="",I434=""),"",ABS(H434-I434)*G434)</f>
        <v/>
      </c>
      <c r="AA434" s="22" t="str">
        <f aca="false">IF(OR(J434="",N(Z434)=0),"",ABS(J434-H434)/ABS(H434-I434))</f>
        <v/>
      </c>
      <c r="AB434" s="23" t="str">
        <f aca="false">IF(U434&lt;&gt;"Closed","",(N(L434)*N(M434)+N(N434)*N(O434)+Y434*Q434)/G434)</f>
        <v/>
      </c>
      <c r="AC434" s="24" t="str">
        <f aca="false">IF(U434&lt;&gt;"Closed","",IF($B434="Short",-1,1)*((N(M434)-H434)*N(L434)+(N(O434)-H434)*N(N434)+(Q434-H434)*Y434)-N(R434))</f>
        <v/>
      </c>
      <c r="AD434" s="25" t="str">
        <f aca="false">IF(OR(AC434="",N(Z434)=0),"",AC434/Z434)</f>
        <v/>
      </c>
      <c r="AE434" s="25" t="str">
        <f aca="false">IF(OR(S434="",N(Z434)=0),"",IF($B434="Short",-1,1)*(S434-H434)*G434/Z434)</f>
        <v/>
      </c>
      <c r="AF434" s="25" t="str">
        <f aca="false">IF(OR(T434="",N(Z434)=0),"",IF($B434="Short",-1,1)*(T434-H434)*G434/Z434)</f>
        <v/>
      </c>
      <c r="AG434" s="21" t="str">
        <f aca="false">IF(U434&lt;&gt;"Open","",Y434*MAX(0,IF($B434="Short",-1,1)*(H434-IF(K434="",I434,K434))))</f>
        <v/>
      </c>
      <c r="AH434" s="26" t="str">
        <f aca="false">IF(U434&lt;&gt;"Closed","",DATE(YEAR(P434),MONTH(P434),1))</f>
        <v/>
      </c>
      <c r="AI434" s="19" t="str">
        <f aca="false">IF(U434&lt;&gt;"Closed","",COUNTIFS($U$7:$U$506,"Closed",$P$7:$P$506,"&lt;"&amp;P434)+COUNTIFS($U$7:U434,"Closed",$P$7:P434,P434))</f>
        <v/>
      </c>
    </row>
    <row r="435" customFormat="false" ht="15" hidden="false" customHeight="false" outlineLevel="0" collapsed="false">
      <c r="A435" s="13"/>
      <c r="B435" s="14"/>
      <c r="C435" s="14"/>
      <c r="D435" s="14"/>
      <c r="E435" s="15"/>
      <c r="F435" s="15"/>
      <c r="G435" s="16"/>
      <c r="H435" s="17"/>
      <c r="I435" s="17"/>
      <c r="J435" s="17"/>
      <c r="K435" s="17"/>
      <c r="L435" s="16"/>
      <c r="M435" s="17"/>
      <c r="N435" s="16"/>
      <c r="O435" s="17"/>
      <c r="P435" s="15"/>
      <c r="Q435" s="17"/>
      <c r="R435" s="17"/>
      <c r="S435" s="17"/>
      <c r="T435" s="17"/>
      <c r="U435" s="18" t="str">
        <f aca="false">IF(A435="","",IF(N(G435)-N(L435)-N(N435)&lt;0,"Check shares",IF(AND(P435&lt;&gt;"",Q435&lt;&gt;""),"Closed","Open")))</f>
        <v/>
      </c>
      <c r="V435" s="19" t="str">
        <f aca="false">IF(OR(F435="",P435=""),"",NETWORKDAYS(F435,P435,Lists!$F$5:$F$40)-1)</f>
        <v/>
      </c>
      <c r="W435" s="18" t="str">
        <f aca="false">IF(V435="","",IF(V435=0,"Same day","Overnight"))</f>
        <v/>
      </c>
      <c r="X435" s="18" t="str">
        <f aca="false">IF(OR(E435="",F435=""),"",IF(AND(E435&gt;=F435,OR(P435="",E435&lt;=P435)),"Yes","No"))</f>
        <v/>
      </c>
      <c r="Y435" s="20" t="str">
        <f aca="false">IF(A435="","",N(G435)-N(L435)-N(N435))</f>
        <v/>
      </c>
      <c r="Z435" s="21" t="str">
        <f aca="false">IF(OR(G435="",H435="",I435=""),"",ABS(H435-I435)*G435)</f>
        <v/>
      </c>
      <c r="AA435" s="22" t="str">
        <f aca="false">IF(OR(J435="",N(Z435)=0),"",ABS(J435-H435)/ABS(H435-I435))</f>
        <v/>
      </c>
      <c r="AB435" s="23" t="str">
        <f aca="false">IF(U435&lt;&gt;"Closed","",(N(L435)*N(M435)+N(N435)*N(O435)+Y435*Q435)/G435)</f>
        <v/>
      </c>
      <c r="AC435" s="24" t="str">
        <f aca="false">IF(U435&lt;&gt;"Closed","",IF($B435="Short",-1,1)*((N(M435)-H435)*N(L435)+(N(O435)-H435)*N(N435)+(Q435-H435)*Y435)-N(R435))</f>
        <v/>
      </c>
      <c r="AD435" s="25" t="str">
        <f aca="false">IF(OR(AC435="",N(Z435)=0),"",AC435/Z435)</f>
        <v/>
      </c>
      <c r="AE435" s="25" t="str">
        <f aca="false">IF(OR(S435="",N(Z435)=0),"",IF($B435="Short",-1,1)*(S435-H435)*G435/Z435)</f>
        <v/>
      </c>
      <c r="AF435" s="25" t="str">
        <f aca="false">IF(OR(T435="",N(Z435)=0),"",IF($B435="Short",-1,1)*(T435-H435)*G435/Z435)</f>
        <v/>
      </c>
      <c r="AG435" s="21" t="str">
        <f aca="false">IF(U435&lt;&gt;"Open","",Y435*MAX(0,IF($B435="Short",-1,1)*(H435-IF(K435="",I435,K435))))</f>
        <v/>
      </c>
      <c r="AH435" s="26" t="str">
        <f aca="false">IF(U435&lt;&gt;"Closed","",DATE(YEAR(P435),MONTH(P435),1))</f>
        <v/>
      </c>
      <c r="AI435" s="19" t="str">
        <f aca="false">IF(U435&lt;&gt;"Closed","",COUNTIFS($U$7:$U$506,"Closed",$P$7:$P$506,"&lt;"&amp;P435)+COUNTIFS($U$7:U435,"Closed",$P$7:P435,P435))</f>
        <v/>
      </c>
    </row>
    <row r="436" customFormat="false" ht="15" hidden="false" customHeight="false" outlineLevel="0" collapsed="false">
      <c r="A436" s="13"/>
      <c r="B436" s="14"/>
      <c r="C436" s="14"/>
      <c r="D436" s="14"/>
      <c r="E436" s="15"/>
      <c r="F436" s="15"/>
      <c r="G436" s="16"/>
      <c r="H436" s="17"/>
      <c r="I436" s="17"/>
      <c r="J436" s="17"/>
      <c r="K436" s="17"/>
      <c r="L436" s="16"/>
      <c r="M436" s="17"/>
      <c r="N436" s="16"/>
      <c r="O436" s="17"/>
      <c r="P436" s="15"/>
      <c r="Q436" s="17"/>
      <c r="R436" s="17"/>
      <c r="S436" s="17"/>
      <c r="T436" s="17"/>
      <c r="U436" s="18" t="str">
        <f aca="false">IF(A436="","",IF(N(G436)-N(L436)-N(N436)&lt;0,"Check shares",IF(AND(P436&lt;&gt;"",Q436&lt;&gt;""),"Closed","Open")))</f>
        <v/>
      </c>
      <c r="V436" s="19" t="str">
        <f aca="false">IF(OR(F436="",P436=""),"",NETWORKDAYS(F436,P436,Lists!$F$5:$F$40)-1)</f>
        <v/>
      </c>
      <c r="W436" s="18" t="str">
        <f aca="false">IF(V436="","",IF(V436=0,"Same day","Overnight"))</f>
        <v/>
      </c>
      <c r="X436" s="18" t="str">
        <f aca="false">IF(OR(E436="",F436=""),"",IF(AND(E436&gt;=F436,OR(P436="",E436&lt;=P436)),"Yes","No"))</f>
        <v/>
      </c>
      <c r="Y436" s="20" t="str">
        <f aca="false">IF(A436="","",N(G436)-N(L436)-N(N436))</f>
        <v/>
      </c>
      <c r="Z436" s="21" t="str">
        <f aca="false">IF(OR(G436="",H436="",I436=""),"",ABS(H436-I436)*G436)</f>
        <v/>
      </c>
      <c r="AA436" s="22" t="str">
        <f aca="false">IF(OR(J436="",N(Z436)=0),"",ABS(J436-H436)/ABS(H436-I436))</f>
        <v/>
      </c>
      <c r="AB436" s="23" t="str">
        <f aca="false">IF(U436&lt;&gt;"Closed","",(N(L436)*N(M436)+N(N436)*N(O436)+Y436*Q436)/G436)</f>
        <v/>
      </c>
      <c r="AC436" s="24" t="str">
        <f aca="false">IF(U436&lt;&gt;"Closed","",IF($B436="Short",-1,1)*((N(M436)-H436)*N(L436)+(N(O436)-H436)*N(N436)+(Q436-H436)*Y436)-N(R436))</f>
        <v/>
      </c>
      <c r="AD436" s="25" t="str">
        <f aca="false">IF(OR(AC436="",N(Z436)=0),"",AC436/Z436)</f>
        <v/>
      </c>
      <c r="AE436" s="25" t="str">
        <f aca="false">IF(OR(S436="",N(Z436)=0),"",IF($B436="Short",-1,1)*(S436-H436)*G436/Z436)</f>
        <v/>
      </c>
      <c r="AF436" s="25" t="str">
        <f aca="false">IF(OR(T436="",N(Z436)=0),"",IF($B436="Short",-1,1)*(T436-H436)*G436/Z436)</f>
        <v/>
      </c>
      <c r="AG436" s="21" t="str">
        <f aca="false">IF(U436&lt;&gt;"Open","",Y436*MAX(0,IF($B436="Short",-1,1)*(H436-IF(K436="",I436,K436))))</f>
        <v/>
      </c>
      <c r="AH436" s="26" t="str">
        <f aca="false">IF(U436&lt;&gt;"Closed","",DATE(YEAR(P436),MONTH(P436),1))</f>
        <v/>
      </c>
      <c r="AI436" s="19" t="str">
        <f aca="false">IF(U436&lt;&gt;"Closed","",COUNTIFS($U$7:$U$506,"Closed",$P$7:$P$506,"&lt;"&amp;P436)+COUNTIFS($U$7:U436,"Closed",$P$7:P436,P436))</f>
        <v/>
      </c>
    </row>
    <row r="437" customFormat="false" ht="15" hidden="false" customHeight="false" outlineLevel="0" collapsed="false">
      <c r="A437" s="13"/>
      <c r="B437" s="14"/>
      <c r="C437" s="14"/>
      <c r="D437" s="14"/>
      <c r="E437" s="15"/>
      <c r="F437" s="15"/>
      <c r="G437" s="16"/>
      <c r="H437" s="17"/>
      <c r="I437" s="17"/>
      <c r="J437" s="17"/>
      <c r="K437" s="17"/>
      <c r="L437" s="16"/>
      <c r="M437" s="17"/>
      <c r="N437" s="16"/>
      <c r="O437" s="17"/>
      <c r="P437" s="15"/>
      <c r="Q437" s="17"/>
      <c r="R437" s="17"/>
      <c r="S437" s="17"/>
      <c r="T437" s="17"/>
      <c r="U437" s="18" t="str">
        <f aca="false">IF(A437="","",IF(N(G437)-N(L437)-N(N437)&lt;0,"Check shares",IF(AND(P437&lt;&gt;"",Q437&lt;&gt;""),"Closed","Open")))</f>
        <v/>
      </c>
      <c r="V437" s="19" t="str">
        <f aca="false">IF(OR(F437="",P437=""),"",NETWORKDAYS(F437,P437,Lists!$F$5:$F$40)-1)</f>
        <v/>
      </c>
      <c r="W437" s="18" t="str">
        <f aca="false">IF(V437="","",IF(V437=0,"Same day","Overnight"))</f>
        <v/>
      </c>
      <c r="X437" s="18" t="str">
        <f aca="false">IF(OR(E437="",F437=""),"",IF(AND(E437&gt;=F437,OR(P437="",E437&lt;=P437)),"Yes","No"))</f>
        <v/>
      </c>
      <c r="Y437" s="20" t="str">
        <f aca="false">IF(A437="","",N(G437)-N(L437)-N(N437))</f>
        <v/>
      </c>
      <c r="Z437" s="21" t="str">
        <f aca="false">IF(OR(G437="",H437="",I437=""),"",ABS(H437-I437)*G437)</f>
        <v/>
      </c>
      <c r="AA437" s="22" t="str">
        <f aca="false">IF(OR(J437="",N(Z437)=0),"",ABS(J437-H437)/ABS(H437-I437))</f>
        <v/>
      </c>
      <c r="AB437" s="23" t="str">
        <f aca="false">IF(U437&lt;&gt;"Closed","",(N(L437)*N(M437)+N(N437)*N(O437)+Y437*Q437)/G437)</f>
        <v/>
      </c>
      <c r="AC437" s="24" t="str">
        <f aca="false">IF(U437&lt;&gt;"Closed","",IF($B437="Short",-1,1)*((N(M437)-H437)*N(L437)+(N(O437)-H437)*N(N437)+(Q437-H437)*Y437)-N(R437))</f>
        <v/>
      </c>
      <c r="AD437" s="25" t="str">
        <f aca="false">IF(OR(AC437="",N(Z437)=0),"",AC437/Z437)</f>
        <v/>
      </c>
      <c r="AE437" s="25" t="str">
        <f aca="false">IF(OR(S437="",N(Z437)=0),"",IF($B437="Short",-1,1)*(S437-H437)*G437/Z437)</f>
        <v/>
      </c>
      <c r="AF437" s="25" t="str">
        <f aca="false">IF(OR(T437="",N(Z437)=0),"",IF($B437="Short",-1,1)*(T437-H437)*G437/Z437)</f>
        <v/>
      </c>
      <c r="AG437" s="21" t="str">
        <f aca="false">IF(U437&lt;&gt;"Open","",Y437*MAX(0,IF($B437="Short",-1,1)*(H437-IF(K437="",I437,K437))))</f>
        <v/>
      </c>
      <c r="AH437" s="26" t="str">
        <f aca="false">IF(U437&lt;&gt;"Closed","",DATE(YEAR(P437),MONTH(P437),1))</f>
        <v/>
      </c>
      <c r="AI437" s="19" t="str">
        <f aca="false">IF(U437&lt;&gt;"Closed","",COUNTIFS($U$7:$U$506,"Closed",$P$7:$P$506,"&lt;"&amp;P437)+COUNTIFS($U$7:U437,"Closed",$P$7:P437,P437))</f>
        <v/>
      </c>
    </row>
    <row r="438" customFormat="false" ht="15" hidden="false" customHeight="false" outlineLevel="0" collapsed="false">
      <c r="A438" s="13"/>
      <c r="B438" s="14"/>
      <c r="C438" s="14"/>
      <c r="D438" s="14"/>
      <c r="E438" s="15"/>
      <c r="F438" s="15"/>
      <c r="G438" s="16"/>
      <c r="H438" s="17"/>
      <c r="I438" s="17"/>
      <c r="J438" s="17"/>
      <c r="K438" s="17"/>
      <c r="L438" s="16"/>
      <c r="M438" s="17"/>
      <c r="N438" s="16"/>
      <c r="O438" s="17"/>
      <c r="P438" s="15"/>
      <c r="Q438" s="17"/>
      <c r="R438" s="17"/>
      <c r="S438" s="17"/>
      <c r="T438" s="17"/>
      <c r="U438" s="18" t="str">
        <f aca="false">IF(A438="","",IF(N(G438)-N(L438)-N(N438)&lt;0,"Check shares",IF(AND(P438&lt;&gt;"",Q438&lt;&gt;""),"Closed","Open")))</f>
        <v/>
      </c>
      <c r="V438" s="19" t="str">
        <f aca="false">IF(OR(F438="",P438=""),"",NETWORKDAYS(F438,P438,Lists!$F$5:$F$40)-1)</f>
        <v/>
      </c>
      <c r="W438" s="18" t="str">
        <f aca="false">IF(V438="","",IF(V438=0,"Same day","Overnight"))</f>
        <v/>
      </c>
      <c r="X438" s="18" t="str">
        <f aca="false">IF(OR(E438="",F438=""),"",IF(AND(E438&gt;=F438,OR(P438="",E438&lt;=P438)),"Yes","No"))</f>
        <v/>
      </c>
      <c r="Y438" s="20" t="str">
        <f aca="false">IF(A438="","",N(G438)-N(L438)-N(N438))</f>
        <v/>
      </c>
      <c r="Z438" s="21" t="str">
        <f aca="false">IF(OR(G438="",H438="",I438=""),"",ABS(H438-I438)*G438)</f>
        <v/>
      </c>
      <c r="AA438" s="22" t="str">
        <f aca="false">IF(OR(J438="",N(Z438)=0),"",ABS(J438-H438)/ABS(H438-I438))</f>
        <v/>
      </c>
      <c r="AB438" s="23" t="str">
        <f aca="false">IF(U438&lt;&gt;"Closed","",(N(L438)*N(M438)+N(N438)*N(O438)+Y438*Q438)/G438)</f>
        <v/>
      </c>
      <c r="AC438" s="24" t="str">
        <f aca="false">IF(U438&lt;&gt;"Closed","",IF($B438="Short",-1,1)*((N(M438)-H438)*N(L438)+(N(O438)-H438)*N(N438)+(Q438-H438)*Y438)-N(R438))</f>
        <v/>
      </c>
      <c r="AD438" s="25" t="str">
        <f aca="false">IF(OR(AC438="",N(Z438)=0),"",AC438/Z438)</f>
        <v/>
      </c>
      <c r="AE438" s="25" t="str">
        <f aca="false">IF(OR(S438="",N(Z438)=0),"",IF($B438="Short",-1,1)*(S438-H438)*G438/Z438)</f>
        <v/>
      </c>
      <c r="AF438" s="25" t="str">
        <f aca="false">IF(OR(T438="",N(Z438)=0),"",IF($B438="Short",-1,1)*(T438-H438)*G438/Z438)</f>
        <v/>
      </c>
      <c r="AG438" s="21" t="str">
        <f aca="false">IF(U438&lt;&gt;"Open","",Y438*MAX(0,IF($B438="Short",-1,1)*(H438-IF(K438="",I438,K438))))</f>
        <v/>
      </c>
      <c r="AH438" s="26" t="str">
        <f aca="false">IF(U438&lt;&gt;"Closed","",DATE(YEAR(P438),MONTH(P438),1))</f>
        <v/>
      </c>
      <c r="AI438" s="19" t="str">
        <f aca="false">IF(U438&lt;&gt;"Closed","",COUNTIFS($U$7:$U$506,"Closed",$P$7:$P$506,"&lt;"&amp;P438)+COUNTIFS($U$7:U438,"Closed",$P$7:P438,P438))</f>
        <v/>
      </c>
    </row>
    <row r="439" customFormat="false" ht="15" hidden="false" customHeight="false" outlineLevel="0" collapsed="false">
      <c r="A439" s="13"/>
      <c r="B439" s="14"/>
      <c r="C439" s="14"/>
      <c r="D439" s="14"/>
      <c r="E439" s="15"/>
      <c r="F439" s="15"/>
      <c r="G439" s="16"/>
      <c r="H439" s="17"/>
      <c r="I439" s="17"/>
      <c r="J439" s="17"/>
      <c r="K439" s="17"/>
      <c r="L439" s="16"/>
      <c r="M439" s="17"/>
      <c r="N439" s="16"/>
      <c r="O439" s="17"/>
      <c r="P439" s="15"/>
      <c r="Q439" s="17"/>
      <c r="R439" s="17"/>
      <c r="S439" s="17"/>
      <c r="T439" s="17"/>
      <c r="U439" s="18" t="str">
        <f aca="false">IF(A439="","",IF(N(G439)-N(L439)-N(N439)&lt;0,"Check shares",IF(AND(P439&lt;&gt;"",Q439&lt;&gt;""),"Closed","Open")))</f>
        <v/>
      </c>
      <c r="V439" s="19" t="str">
        <f aca="false">IF(OR(F439="",P439=""),"",NETWORKDAYS(F439,P439,Lists!$F$5:$F$40)-1)</f>
        <v/>
      </c>
      <c r="W439" s="18" t="str">
        <f aca="false">IF(V439="","",IF(V439=0,"Same day","Overnight"))</f>
        <v/>
      </c>
      <c r="X439" s="18" t="str">
        <f aca="false">IF(OR(E439="",F439=""),"",IF(AND(E439&gt;=F439,OR(P439="",E439&lt;=P439)),"Yes","No"))</f>
        <v/>
      </c>
      <c r="Y439" s="20" t="str">
        <f aca="false">IF(A439="","",N(G439)-N(L439)-N(N439))</f>
        <v/>
      </c>
      <c r="Z439" s="21" t="str">
        <f aca="false">IF(OR(G439="",H439="",I439=""),"",ABS(H439-I439)*G439)</f>
        <v/>
      </c>
      <c r="AA439" s="22" t="str">
        <f aca="false">IF(OR(J439="",N(Z439)=0),"",ABS(J439-H439)/ABS(H439-I439))</f>
        <v/>
      </c>
      <c r="AB439" s="23" t="str">
        <f aca="false">IF(U439&lt;&gt;"Closed","",(N(L439)*N(M439)+N(N439)*N(O439)+Y439*Q439)/G439)</f>
        <v/>
      </c>
      <c r="AC439" s="24" t="str">
        <f aca="false">IF(U439&lt;&gt;"Closed","",IF($B439="Short",-1,1)*((N(M439)-H439)*N(L439)+(N(O439)-H439)*N(N439)+(Q439-H439)*Y439)-N(R439))</f>
        <v/>
      </c>
      <c r="AD439" s="25" t="str">
        <f aca="false">IF(OR(AC439="",N(Z439)=0),"",AC439/Z439)</f>
        <v/>
      </c>
      <c r="AE439" s="25" t="str">
        <f aca="false">IF(OR(S439="",N(Z439)=0),"",IF($B439="Short",-1,1)*(S439-H439)*G439/Z439)</f>
        <v/>
      </c>
      <c r="AF439" s="25" t="str">
        <f aca="false">IF(OR(T439="",N(Z439)=0),"",IF($B439="Short",-1,1)*(T439-H439)*G439/Z439)</f>
        <v/>
      </c>
      <c r="AG439" s="21" t="str">
        <f aca="false">IF(U439&lt;&gt;"Open","",Y439*MAX(0,IF($B439="Short",-1,1)*(H439-IF(K439="",I439,K439))))</f>
        <v/>
      </c>
      <c r="AH439" s="26" t="str">
        <f aca="false">IF(U439&lt;&gt;"Closed","",DATE(YEAR(P439),MONTH(P439),1))</f>
        <v/>
      </c>
      <c r="AI439" s="19" t="str">
        <f aca="false">IF(U439&lt;&gt;"Closed","",COUNTIFS($U$7:$U$506,"Closed",$P$7:$P$506,"&lt;"&amp;P439)+COUNTIFS($U$7:U439,"Closed",$P$7:P439,P439))</f>
        <v/>
      </c>
    </row>
    <row r="440" customFormat="false" ht="15" hidden="false" customHeight="false" outlineLevel="0" collapsed="false">
      <c r="A440" s="13"/>
      <c r="B440" s="14"/>
      <c r="C440" s="14"/>
      <c r="D440" s="14"/>
      <c r="E440" s="15"/>
      <c r="F440" s="15"/>
      <c r="G440" s="16"/>
      <c r="H440" s="17"/>
      <c r="I440" s="17"/>
      <c r="J440" s="17"/>
      <c r="K440" s="17"/>
      <c r="L440" s="16"/>
      <c r="M440" s="17"/>
      <c r="N440" s="16"/>
      <c r="O440" s="17"/>
      <c r="P440" s="15"/>
      <c r="Q440" s="17"/>
      <c r="R440" s="17"/>
      <c r="S440" s="17"/>
      <c r="T440" s="17"/>
      <c r="U440" s="18" t="str">
        <f aca="false">IF(A440="","",IF(N(G440)-N(L440)-N(N440)&lt;0,"Check shares",IF(AND(P440&lt;&gt;"",Q440&lt;&gt;""),"Closed","Open")))</f>
        <v/>
      </c>
      <c r="V440" s="19" t="str">
        <f aca="false">IF(OR(F440="",P440=""),"",NETWORKDAYS(F440,P440,Lists!$F$5:$F$40)-1)</f>
        <v/>
      </c>
      <c r="W440" s="18" t="str">
        <f aca="false">IF(V440="","",IF(V440=0,"Same day","Overnight"))</f>
        <v/>
      </c>
      <c r="X440" s="18" t="str">
        <f aca="false">IF(OR(E440="",F440=""),"",IF(AND(E440&gt;=F440,OR(P440="",E440&lt;=P440)),"Yes","No"))</f>
        <v/>
      </c>
      <c r="Y440" s="20" t="str">
        <f aca="false">IF(A440="","",N(G440)-N(L440)-N(N440))</f>
        <v/>
      </c>
      <c r="Z440" s="21" t="str">
        <f aca="false">IF(OR(G440="",H440="",I440=""),"",ABS(H440-I440)*G440)</f>
        <v/>
      </c>
      <c r="AA440" s="22" t="str">
        <f aca="false">IF(OR(J440="",N(Z440)=0),"",ABS(J440-H440)/ABS(H440-I440))</f>
        <v/>
      </c>
      <c r="AB440" s="23" t="str">
        <f aca="false">IF(U440&lt;&gt;"Closed","",(N(L440)*N(M440)+N(N440)*N(O440)+Y440*Q440)/G440)</f>
        <v/>
      </c>
      <c r="AC440" s="24" t="str">
        <f aca="false">IF(U440&lt;&gt;"Closed","",IF($B440="Short",-1,1)*((N(M440)-H440)*N(L440)+(N(O440)-H440)*N(N440)+(Q440-H440)*Y440)-N(R440))</f>
        <v/>
      </c>
      <c r="AD440" s="25" t="str">
        <f aca="false">IF(OR(AC440="",N(Z440)=0),"",AC440/Z440)</f>
        <v/>
      </c>
      <c r="AE440" s="25" t="str">
        <f aca="false">IF(OR(S440="",N(Z440)=0),"",IF($B440="Short",-1,1)*(S440-H440)*G440/Z440)</f>
        <v/>
      </c>
      <c r="AF440" s="25" t="str">
        <f aca="false">IF(OR(T440="",N(Z440)=0),"",IF($B440="Short",-1,1)*(T440-H440)*G440/Z440)</f>
        <v/>
      </c>
      <c r="AG440" s="21" t="str">
        <f aca="false">IF(U440&lt;&gt;"Open","",Y440*MAX(0,IF($B440="Short",-1,1)*(H440-IF(K440="",I440,K440))))</f>
        <v/>
      </c>
      <c r="AH440" s="26" t="str">
        <f aca="false">IF(U440&lt;&gt;"Closed","",DATE(YEAR(P440),MONTH(P440),1))</f>
        <v/>
      </c>
      <c r="AI440" s="19" t="str">
        <f aca="false">IF(U440&lt;&gt;"Closed","",COUNTIFS($U$7:$U$506,"Closed",$P$7:$P$506,"&lt;"&amp;P440)+COUNTIFS($U$7:U440,"Closed",$P$7:P440,P440))</f>
        <v/>
      </c>
    </row>
    <row r="441" customFormat="false" ht="15" hidden="false" customHeight="false" outlineLevel="0" collapsed="false">
      <c r="A441" s="13"/>
      <c r="B441" s="14"/>
      <c r="C441" s="14"/>
      <c r="D441" s="14"/>
      <c r="E441" s="15"/>
      <c r="F441" s="15"/>
      <c r="G441" s="16"/>
      <c r="H441" s="17"/>
      <c r="I441" s="17"/>
      <c r="J441" s="17"/>
      <c r="K441" s="17"/>
      <c r="L441" s="16"/>
      <c r="M441" s="17"/>
      <c r="N441" s="16"/>
      <c r="O441" s="17"/>
      <c r="P441" s="15"/>
      <c r="Q441" s="17"/>
      <c r="R441" s="17"/>
      <c r="S441" s="17"/>
      <c r="T441" s="17"/>
      <c r="U441" s="18" t="str">
        <f aca="false">IF(A441="","",IF(N(G441)-N(L441)-N(N441)&lt;0,"Check shares",IF(AND(P441&lt;&gt;"",Q441&lt;&gt;""),"Closed","Open")))</f>
        <v/>
      </c>
      <c r="V441" s="19" t="str">
        <f aca="false">IF(OR(F441="",P441=""),"",NETWORKDAYS(F441,P441,Lists!$F$5:$F$40)-1)</f>
        <v/>
      </c>
      <c r="W441" s="18" t="str">
        <f aca="false">IF(V441="","",IF(V441=0,"Same day","Overnight"))</f>
        <v/>
      </c>
      <c r="X441" s="18" t="str">
        <f aca="false">IF(OR(E441="",F441=""),"",IF(AND(E441&gt;=F441,OR(P441="",E441&lt;=P441)),"Yes","No"))</f>
        <v/>
      </c>
      <c r="Y441" s="20" t="str">
        <f aca="false">IF(A441="","",N(G441)-N(L441)-N(N441))</f>
        <v/>
      </c>
      <c r="Z441" s="21" t="str">
        <f aca="false">IF(OR(G441="",H441="",I441=""),"",ABS(H441-I441)*G441)</f>
        <v/>
      </c>
      <c r="AA441" s="22" t="str">
        <f aca="false">IF(OR(J441="",N(Z441)=0),"",ABS(J441-H441)/ABS(H441-I441))</f>
        <v/>
      </c>
      <c r="AB441" s="23" t="str">
        <f aca="false">IF(U441&lt;&gt;"Closed","",(N(L441)*N(M441)+N(N441)*N(O441)+Y441*Q441)/G441)</f>
        <v/>
      </c>
      <c r="AC441" s="24" t="str">
        <f aca="false">IF(U441&lt;&gt;"Closed","",IF($B441="Short",-1,1)*((N(M441)-H441)*N(L441)+(N(O441)-H441)*N(N441)+(Q441-H441)*Y441)-N(R441))</f>
        <v/>
      </c>
      <c r="AD441" s="25" t="str">
        <f aca="false">IF(OR(AC441="",N(Z441)=0),"",AC441/Z441)</f>
        <v/>
      </c>
      <c r="AE441" s="25" t="str">
        <f aca="false">IF(OR(S441="",N(Z441)=0),"",IF($B441="Short",-1,1)*(S441-H441)*G441/Z441)</f>
        <v/>
      </c>
      <c r="AF441" s="25" t="str">
        <f aca="false">IF(OR(T441="",N(Z441)=0),"",IF($B441="Short",-1,1)*(T441-H441)*G441/Z441)</f>
        <v/>
      </c>
      <c r="AG441" s="21" t="str">
        <f aca="false">IF(U441&lt;&gt;"Open","",Y441*MAX(0,IF($B441="Short",-1,1)*(H441-IF(K441="",I441,K441))))</f>
        <v/>
      </c>
      <c r="AH441" s="26" t="str">
        <f aca="false">IF(U441&lt;&gt;"Closed","",DATE(YEAR(P441),MONTH(P441),1))</f>
        <v/>
      </c>
      <c r="AI441" s="19" t="str">
        <f aca="false">IF(U441&lt;&gt;"Closed","",COUNTIFS($U$7:$U$506,"Closed",$P$7:$P$506,"&lt;"&amp;P441)+COUNTIFS($U$7:U441,"Closed",$P$7:P441,P441))</f>
        <v/>
      </c>
    </row>
    <row r="442" customFormat="false" ht="15" hidden="false" customHeight="false" outlineLevel="0" collapsed="false">
      <c r="A442" s="13"/>
      <c r="B442" s="14"/>
      <c r="C442" s="14"/>
      <c r="D442" s="14"/>
      <c r="E442" s="15"/>
      <c r="F442" s="15"/>
      <c r="G442" s="16"/>
      <c r="H442" s="17"/>
      <c r="I442" s="17"/>
      <c r="J442" s="17"/>
      <c r="K442" s="17"/>
      <c r="L442" s="16"/>
      <c r="M442" s="17"/>
      <c r="N442" s="16"/>
      <c r="O442" s="17"/>
      <c r="P442" s="15"/>
      <c r="Q442" s="17"/>
      <c r="R442" s="17"/>
      <c r="S442" s="17"/>
      <c r="T442" s="17"/>
      <c r="U442" s="18" t="str">
        <f aca="false">IF(A442="","",IF(N(G442)-N(L442)-N(N442)&lt;0,"Check shares",IF(AND(P442&lt;&gt;"",Q442&lt;&gt;""),"Closed","Open")))</f>
        <v/>
      </c>
      <c r="V442" s="19" t="str">
        <f aca="false">IF(OR(F442="",P442=""),"",NETWORKDAYS(F442,P442,Lists!$F$5:$F$40)-1)</f>
        <v/>
      </c>
      <c r="W442" s="18" t="str">
        <f aca="false">IF(V442="","",IF(V442=0,"Same day","Overnight"))</f>
        <v/>
      </c>
      <c r="X442" s="18" t="str">
        <f aca="false">IF(OR(E442="",F442=""),"",IF(AND(E442&gt;=F442,OR(P442="",E442&lt;=P442)),"Yes","No"))</f>
        <v/>
      </c>
      <c r="Y442" s="20" t="str">
        <f aca="false">IF(A442="","",N(G442)-N(L442)-N(N442))</f>
        <v/>
      </c>
      <c r="Z442" s="21" t="str">
        <f aca="false">IF(OR(G442="",H442="",I442=""),"",ABS(H442-I442)*G442)</f>
        <v/>
      </c>
      <c r="AA442" s="22" t="str">
        <f aca="false">IF(OR(J442="",N(Z442)=0),"",ABS(J442-H442)/ABS(H442-I442))</f>
        <v/>
      </c>
      <c r="AB442" s="23" t="str">
        <f aca="false">IF(U442&lt;&gt;"Closed","",(N(L442)*N(M442)+N(N442)*N(O442)+Y442*Q442)/G442)</f>
        <v/>
      </c>
      <c r="AC442" s="24" t="str">
        <f aca="false">IF(U442&lt;&gt;"Closed","",IF($B442="Short",-1,1)*((N(M442)-H442)*N(L442)+(N(O442)-H442)*N(N442)+(Q442-H442)*Y442)-N(R442))</f>
        <v/>
      </c>
      <c r="AD442" s="25" t="str">
        <f aca="false">IF(OR(AC442="",N(Z442)=0),"",AC442/Z442)</f>
        <v/>
      </c>
      <c r="AE442" s="25" t="str">
        <f aca="false">IF(OR(S442="",N(Z442)=0),"",IF($B442="Short",-1,1)*(S442-H442)*G442/Z442)</f>
        <v/>
      </c>
      <c r="AF442" s="25" t="str">
        <f aca="false">IF(OR(T442="",N(Z442)=0),"",IF($B442="Short",-1,1)*(T442-H442)*G442/Z442)</f>
        <v/>
      </c>
      <c r="AG442" s="21" t="str">
        <f aca="false">IF(U442&lt;&gt;"Open","",Y442*MAX(0,IF($B442="Short",-1,1)*(H442-IF(K442="",I442,K442))))</f>
        <v/>
      </c>
      <c r="AH442" s="26" t="str">
        <f aca="false">IF(U442&lt;&gt;"Closed","",DATE(YEAR(P442),MONTH(P442),1))</f>
        <v/>
      </c>
      <c r="AI442" s="19" t="str">
        <f aca="false">IF(U442&lt;&gt;"Closed","",COUNTIFS($U$7:$U$506,"Closed",$P$7:$P$506,"&lt;"&amp;P442)+COUNTIFS($U$7:U442,"Closed",$P$7:P442,P442))</f>
        <v/>
      </c>
    </row>
    <row r="443" customFormat="false" ht="15" hidden="false" customHeight="false" outlineLevel="0" collapsed="false">
      <c r="A443" s="13"/>
      <c r="B443" s="14"/>
      <c r="C443" s="14"/>
      <c r="D443" s="14"/>
      <c r="E443" s="15"/>
      <c r="F443" s="15"/>
      <c r="G443" s="16"/>
      <c r="H443" s="17"/>
      <c r="I443" s="17"/>
      <c r="J443" s="17"/>
      <c r="K443" s="17"/>
      <c r="L443" s="16"/>
      <c r="M443" s="17"/>
      <c r="N443" s="16"/>
      <c r="O443" s="17"/>
      <c r="P443" s="15"/>
      <c r="Q443" s="17"/>
      <c r="R443" s="17"/>
      <c r="S443" s="17"/>
      <c r="T443" s="17"/>
      <c r="U443" s="18" t="str">
        <f aca="false">IF(A443="","",IF(N(G443)-N(L443)-N(N443)&lt;0,"Check shares",IF(AND(P443&lt;&gt;"",Q443&lt;&gt;""),"Closed","Open")))</f>
        <v/>
      </c>
      <c r="V443" s="19" t="str">
        <f aca="false">IF(OR(F443="",P443=""),"",NETWORKDAYS(F443,P443,Lists!$F$5:$F$40)-1)</f>
        <v/>
      </c>
      <c r="W443" s="18" t="str">
        <f aca="false">IF(V443="","",IF(V443=0,"Same day","Overnight"))</f>
        <v/>
      </c>
      <c r="X443" s="18" t="str">
        <f aca="false">IF(OR(E443="",F443=""),"",IF(AND(E443&gt;=F443,OR(P443="",E443&lt;=P443)),"Yes","No"))</f>
        <v/>
      </c>
      <c r="Y443" s="20" t="str">
        <f aca="false">IF(A443="","",N(G443)-N(L443)-N(N443))</f>
        <v/>
      </c>
      <c r="Z443" s="21" t="str">
        <f aca="false">IF(OR(G443="",H443="",I443=""),"",ABS(H443-I443)*G443)</f>
        <v/>
      </c>
      <c r="AA443" s="22" t="str">
        <f aca="false">IF(OR(J443="",N(Z443)=0),"",ABS(J443-H443)/ABS(H443-I443))</f>
        <v/>
      </c>
      <c r="AB443" s="23" t="str">
        <f aca="false">IF(U443&lt;&gt;"Closed","",(N(L443)*N(M443)+N(N443)*N(O443)+Y443*Q443)/G443)</f>
        <v/>
      </c>
      <c r="AC443" s="24" t="str">
        <f aca="false">IF(U443&lt;&gt;"Closed","",IF($B443="Short",-1,1)*((N(M443)-H443)*N(L443)+(N(O443)-H443)*N(N443)+(Q443-H443)*Y443)-N(R443))</f>
        <v/>
      </c>
      <c r="AD443" s="25" t="str">
        <f aca="false">IF(OR(AC443="",N(Z443)=0),"",AC443/Z443)</f>
        <v/>
      </c>
      <c r="AE443" s="25" t="str">
        <f aca="false">IF(OR(S443="",N(Z443)=0),"",IF($B443="Short",-1,1)*(S443-H443)*G443/Z443)</f>
        <v/>
      </c>
      <c r="AF443" s="25" t="str">
        <f aca="false">IF(OR(T443="",N(Z443)=0),"",IF($B443="Short",-1,1)*(T443-H443)*G443/Z443)</f>
        <v/>
      </c>
      <c r="AG443" s="21" t="str">
        <f aca="false">IF(U443&lt;&gt;"Open","",Y443*MAX(0,IF($B443="Short",-1,1)*(H443-IF(K443="",I443,K443))))</f>
        <v/>
      </c>
      <c r="AH443" s="26" t="str">
        <f aca="false">IF(U443&lt;&gt;"Closed","",DATE(YEAR(P443),MONTH(P443),1))</f>
        <v/>
      </c>
      <c r="AI443" s="19" t="str">
        <f aca="false">IF(U443&lt;&gt;"Closed","",COUNTIFS($U$7:$U$506,"Closed",$P$7:$P$506,"&lt;"&amp;P443)+COUNTIFS($U$7:U443,"Closed",$P$7:P443,P443))</f>
        <v/>
      </c>
    </row>
    <row r="444" customFormat="false" ht="15" hidden="false" customHeight="false" outlineLevel="0" collapsed="false">
      <c r="A444" s="13"/>
      <c r="B444" s="14"/>
      <c r="C444" s="14"/>
      <c r="D444" s="14"/>
      <c r="E444" s="15"/>
      <c r="F444" s="15"/>
      <c r="G444" s="16"/>
      <c r="H444" s="17"/>
      <c r="I444" s="17"/>
      <c r="J444" s="17"/>
      <c r="K444" s="17"/>
      <c r="L444" s="16"/>
      <c r="M444" s="17"/>
      <c r="N444" s="16"/>
      <c r="O444" s="17"/>
      <c r="P444" s="15"/>
      <c r="Q444" s="17"/>
      <c r="R444" s="17"/>
      <c r="S444" s="17"/>
      <c r="T444" s="17"/>
      <c r="U444" s="18" t="str">
        <f aca="false">IF(A444="","",IF(N(G444)-N(L444)-N(N444)&lt;0,"Check shares",IF(AND(P444&lt;&gt;"",Q444&lt;&gt;""),"Closed","Open")))</f>
        <v/>
      </c>
      <c r="V444" s="19" t="str">
        <f aca="false">IF(OR(F444="",P444=""),"",NETWORKDAYS(F444,P444,Lists!$F$5:$F$40)-1)</f>
        <v/>
      </c>
      <c r="W444" s="18" t="str">
        <f aca="false">IF(V444="","",IF(V444=0,"Same day","Overnight"))</f>
        <v/>
      </c>
      <c r="X444" s="18" t="str">
        <f aca="false">IF(OR(E444="",F444=""),"",IF(AND(E444&gt;=F444,OR(P444="",E444&lt;=P444)),"Yes","No"))</f>
        <v/>
      </c>
      <c r="Y444" s="20" t="str">
        <f aca="false">IF(A444="","",N(G444)-N(L444)-N(N444))</f>
        <v/>
      </c>
      <c r="Z444" s="21" t="str">
        <f aca="false">IF(OR(G444="",H444="",I444=""),"",ABS(H444-I444)*G444)</f>
        <v/>
      </c>
      <c r="AA444" s="22" t="str">
        <f aca="false">IF(OR(J444="",N(Z444)=0),"",ABS(J444-H444)/ABS(H444-I444))</f>
        <v/>
      </c>
      <c r="AB444" s="23" t="str">
        <f aca="false">IF(U444&lt;&gt;"Closed","",(N(L444)*N(M444)+N(N444)*N(O444)+Y444*Q444)/G444)</f>
        <v/>
      </c>
      <c r="AC444" s="24" t="str">
        <f aca="false">IF(U444&lt;&gt;"Closed","",IF($B444="Short",-1,1)*((N(M444)-H444)*N(L444)+(N(O444)-H444)*N(N444)+(Q444-H444)*Y444)-N(R444))</f>
        <v/>
      </c>
      <c r="AD444" s="25" t="str">
        <f aca="false">IF(OR(AC444="",N(Z444)=0),"",AC444/Z444)</f>
        <v/>
      </c>
      <c r="AE444" s="25" t="str">
        <f aca="false">IF(OR(S444="",N(Z444)=0),"",IF($B444="Short",-1,1)*(S444-H444)*G444/Z444)</f>
        <v/>
      </c>
      <c r="AF444" s="25" t="str">
        <f aca="false">IF(OR(T444="",N(Z444)=0),"",IF($B444="Short",-1,1)*(T444-H444)*G444/Z444)</f>
        <v/>
      </c>
      <c r="AG444" s="21" t="str">
        <f aca="false">IF(U444&lt;&gt;"Open","",Y444*MAX(0,IF($B444="Short",-1,1)*(H444-IF(K444="",I444,K444))))</f>
        <v/>
      </c>
      <c r="AH444" s="26" t="str">
        <f aca="false">IF(U444&lt;&gt;"Closed","",DATE(YEAR(P444),MONTH(P444),1))</f>
        <v/>
      </c>
      <c r="AI444" s="19" t="str">
        <f aca="false">IF(U444&lt;&gt;"Closed","",COUNTIFS($U$7:$U$506,"Closed",$P$7:$P$506,"&lt;"&amp;P444)+COUNTIFS($U$7:U444,"Closed",$P$7:P444,P444))</f>
        <v/>
      </c>
    </row>
    <row r="445" customFormat="false" ht="15" hidden="false" customHeight="false" outlineLevel="0" collapsed="false">
      <c r="A445" s="13"/>
      <c r="B445" s="14"/>
      <c r="C445" s="14"/>
      <c r="D445" s="14"/>
      <c r="E445" s="15"/>
      <c r="F445" s="15"/>
      <c r="G445" s="16"/>
      <c r="H445" s="17"/>
      <c r="I445" s="17"/>
      <c r="J445" s="17"/>
      <c r="K445" s="17"/>
      <c r="L445" s="16"/>
      <c r="M445" s="17"/>
      <c r="N445" s="16"/>
      <c r="O445" s="17"/>
      <c r="P445" s="15"/>
      <c r="Q445" s="17"/>
      <c r="R445" s="17"/>
      <c r="S445" s="17"/>
      <c r="T445" s="17"/>
      <c r="U445" s="18" t="str">
        <f aca="false">IF(A445="","",IF(N(G445)-N(L445)-N(N445)&lt;0,"Check shares",IF(AND(P445&lt;&gt;"",Q445&lt;&gt;""),"Closed","Open")))</f>
        <v/>
      </c>
      <c r="V445" s="19" t="str">
        <f aca="false">IF(OR(F445="",P445=""),"",NETWORKDAYS(F445,P445,Lists!$F$5:$F$40)-1)</f>
        <v/>
      </c>
      <c r="W445" s="18" t="str">
        <f aca="false">IF(V445="","",IF(V445=0,"Same day","Overnight"))</f>
        <v/>
      </c>
      <c r="X445" s="18" t="str">
        <f aca="false">IF(OR(E445="",F445=""),"",IF(AND(E445&gt;=F445,OR(P445="",E445&lt;=P445)),"Yes","No"))</f>
        <v/>
      </c>
      <c r="Y445" s="20" t="str">
        <f aca="false">IF(A445="","",N(G445)-N(L445)-N(N445))</f>
        <v/>
      </c>
      <c r="Z445" s="21" t="str">
        <f aca="false">IF(OR(G445="",H445="",I445=""),"",ABS(H445-I445)*G445)</f>
        <v/>
      </c>
      <c r="AA445" s="22" t="str">
        <f aca="false">IF(OR(J445="",N(Z445)=0),"",ABS(J445-H445)/ABS(H445-I445))</f>
        <v/>
      </c>
      <c r="AB445" s="23" t="str">
        <f aca="false">IF(U445&lt;&gt;"Closed","",(N(L445)*N(M445)+N(N445)*N(O445)+Y445*Q445)/G445)</f>
        <v/>
      </c>
      <c r="AC445" s="24" t="str">
        <f aca="false">IF(U445&lt;&gt;"Closed","",IF($B445="Short",-1,1)*((N(M445)-H445)*N(L445)+(N(O445)-H445)*N(N445)+(Q445-H445)*Y445)-N(R445))</f>
        <v/>
      </c>
      <c r="AD445" s="25" t="str">
        <f aca="false">IF(OR(AC445="",N(Z445)=0),"",AC445/Z445)</f>
        <v/>
      </c>
      <c r="AE445" s="25" t="str">
        <f aca="false">IF(OR(S445="",N(Z445)=0),"",IF($B445="Short",-1,1)*(S445-H445)*G445/Z445)</f>
        <v/>
      </c>
      <c r="AF445" s="25" t="str">
        <f aca="false">IF(OR(T445="",N(Z445)=0),"",IF($B445="Short",-1,1)*(T445-H445)*G445/Z445)</f>
        <v/>
      </c>
      <c r="AG445" s="21" t="str">
        <f aca="false">IF(U445&lt;&gt;"Open","",Y445*MAX(0,IF($B445="Short",-1,1)*(H445-IF(K445="",I445,K445))))</f>
        <v/>
      </c>
      <c r="AH445" s="26" t="str">
        <f aca="false">IF(U445&lt;&gt;"Closed","",DATE(YEAR(P445),MONTH(P445),1))</f>
        <v/>
      </c>
      <c r="AI445" s="19" t="str">
        <f aca="false">IF(U445&lt;&gt;"Closed","",COUNTIFS($U$7:$U$506,"Closed",$P$7:$P$506,"&lt;"&amp;P445)+COUNTIFS($U$7:U445,"Closed",$P$7:P445,P445))</f>
        <v/>
      </c>
    </row>
    <row r="446" customFormat="false" ht="15" hidden="false" customHeight="false" outlineLevel="0" collapsed="false">
      <c r="A446" s="13"/>
      <c r="B446" s="14"/>
      <c r="C446" s="14"/>
      <c r="D446" s="14"/>
      <c r="E446" s="15"/>
      <c r="F446" s="15"/>
      <c r="G446" s="16"/>
      <c r="H446" s="17"/>
      <c r="I446" s="17"/>
      <c r="J446" s="17"/>
      <c r="K446" s="17"/>
      <c r="L446" s="16"/>
      <c r="M446" s="17"/>
      <c r="N446" s="16"/>
      <c r="O446" s="17"/>
      <c r="P446" s="15"/>
      <c r="Q446" s="17"/>
      <c r="R446" s="17"/>
      <c r="S446" s="17"/>
      <c r="T446" s="17"/>
      <c r="U446" s="18" t="str">
        <f aca="false">IF(A446="","",IF(N(G446)-N(L446)-N(N446)&lt;0,"Check shares",IF(AND(P446&lt;&gt;"",Q446&lt;&gt;""),"Closed","Open")))</f>
        <v/>
      </c>
      <c r="V446" s="19" t="str">
        <f aca="false">IF(OR(F446="",P446=""),"",NETWORKDAYS(F446,P446,Lists!$F$5:$F$40)-1)</f>
        <v/>
      </c>
      <c r="W446" s="18" t="str">
        <f aca="false">IF(V446="","",IF(V446=0,"Same day","Overnight"))</f>
        <v/>
      </c>
      <c r="X446" s="18" t="str">
        <f aca="false">IF(OR(E446="",F446=""),"",IF(AND(E446&gt;=F446,OR(P446="",E446&lt;=P446)),"Yes","No"))</f>
        <v/>
      </c>
      <c r="Y446" s="20" t="str">
        <f aca="false">IF(A446="","",N(G446)-N(L446)-N(N446))</f>
        <v/>
      </c>
      <c r="Z446" s="21" t="str">
        <f aca="false">IF(OR(G446="",H446="",I446=""),"",ABS(H446-I446)*G446)</f>
        <v/>
      </c>
      <c r="AA446" s="22" t="str">
        <f aca="false">IF(OR(J446="",N(Z446)=0),"",ABS(J446-H446)/ABS(H446-I446))</f>
        <v/>
      </c>
      <c r="AB446" s="23" t="str">
        <f aca="false">IF(U446&lt;&gt;"Closed","",(N(L446)*N(M446)+N(N446)*N(O446)+Y446*Q446)/G446)</f>
        <v/>
      </c>
      <c r="AC446" s="24" t="str">
        <f aca="false">IF(U446&lt;&gt;"Closed","",IF($B446="Short",-1,1)*((N(M446)-H446)*N(L446)+(N(O446)-H446)*N(N446)+(Q446-H446)*Y446)-N(R446))</f>
        <v/>
      </c>
      <c r="AD446" s="25" t="str">
        <f aca="false">IF(OR(AC446="",N(Z446)=0),"",AC446/Z446)</f>
        <v/>
      </c>
      <c r="AE446" s="25" t="str">
        <f aca="false">IF(OR(S446="",N(Z446)=0),"",IF($B446="Short",-1,1)*(S446-H446)*G446/Z446)</f>
        <v/>
      </c>
      <c r="AF446" s="25" t="str">
        <f aca="false">IF(OR(T446="",N(Z446)=0),"",IF($B446="Short",-1,1)*(T446-H446)*G446/Z446)</f>
        <v/>
      </c>
      <c r="AG446" s="21" t="str">
        <f aca="false">IF(U446&lt;&gt;"Open","",Y446*MAX(0,IF($B446="Short",-1,1)*(H446-IF(K446="",I446,K446))))</f>
        <v/>
      </c>
      <c r="AH446" s="26" t="str">
        <f aca="false">IF(U446&lt;&gt;"Closed","",DATE(YEAR(P446),MONTH(P446),1))</f>
        <v/>
      </c>
      <c r="AI446" s="19" t="str">
        <f aca="false">IF(U446&lt;&gt;"Closed","",COUNTIFS($U$7:$U$506,"Closed",$P$7:$P$506,"&lt;"&amp;P446)+COUNTIFS($U$7:U446,"Closed",$P$7:P446,P446))</f>
        <v/>
      </c>
    </row>
    <row r="447" customFormat="false" ht="15" hidden="false" customHeight="false" outlineLevel="0" collapsed="false">
      <c r="A447" s="13"/>
      <c r="B447" s="14"/>
      <c r="C447" s="14"/>
      <c r="D447" s="14"/>
      <c r="E447" s="15"/>
      <c r="F447" s="15"/>
      <c r="G447" s="16"/>
      <c r="H447" s="17"/>
      <c r="I447" s="17"/>
      <c r="J447" s="17"/>
      <c r="K447" s="17"/>
      <c r="L447" s="16"/>
      <c r="M447" s="17"/>
      <c r="N447" s="16"/>
      <c r="O447" s="17"/>
      <c r="P447" s="15"/>
      <c r="Q447" s="17"/>
      <c r="R447" s="17"/>
      <c r="S447" s="17"/>
      <c r="T447" s="17"/>
      <c r="U447" s="18" t="str">
        <f aca="false">IF(A447="","",IF(N(G447)-N(L447)-N(N447)&lt;0,"Check shares",IF(AND(P447&lt;&gt;"",Q447&lt;&gt;""),"Closed","Open")))</f>
        <v/>
      </c>
      <c r="V447" s="19" t="str">
        <f aca="false">IF(OR(F447="",P447=""),"",NETWORKDAYS(F447,P447,Lists!$F$5:$F$40)-1)</f>
        <v/>
      </c>
      <c r="W447" s="18" t="str">
        <f aca="false">IF(V447="","",IF(V447=0,"Same day","Overnight"))</f>
        <v/>
      </c>
      <c r="X447" s="18" t="str">
        <f aca="false">IF(OR(E447="",F447=""),"",IF(AND(E447&gt;=F447,OR(P447="",E447&lt;=P447)),"Yes","No"))</f>
        <v/>
      </c>
      <c r="Y447" s="20" t="str">
        <f aca="false">IF(A447="","",N(G447)-N(L447)-N(N447))</f>
        <v/>
      </c>
      <c r="Z447" s="21" t="str">
        <f aca="false">IF(OR(G447="",H447="",I447=""),"",ABS(H447-I447)*G447)</f>
        <v/>
      </c>
      <c r="AA447" s="22" t="str">
        <f aca="false">IF(OR(J447="",N(Z447)=0),"",ABS(J447-H447)/ABS(H447-I447))</f>
        <v/>
      </c>
      <c r="AB447" s="23" t="str">
        <f aca="false">IF(U447&lt;&gt;"Closed","",(N(L447)*N(M447)+N(N447)*N(O447)+Y447*Q447)/G447)</f>
        <v/>
      </c>
      <c r="AC447" s="24" t="str">
        <f aca="false">IF(U447&lt;&gt;"Closed","",IF($B447="Short",-1,1)*((N(M447)-H447)*N(L447)+(N(O447)-H447)*N(N447)+(Q447-H447)*Y447)-N(R447))</f>
        <v/>
      </c>
      <c r="AD447" s="25" t="str">
        <f aca="false">IF(OR(AC447="",N(Z447)=0),"",AC447/Z447)</f>
        <v/>
      </c>
      <c r="AE447" s="25" t="str">
        <f aca="false">IF(OR(S447="",N(Z447)=0),"",IF($B447="Short",-1,1)*(S447-H447)*G447/Z447)</f>
        <v/>
      </c>
      <c r="AF447" s="25" t="str">
        <f aca="false">IF(OR(T447="",N(Z447)=0),"",IF($B447="Short",-1,1)*(T447-H447)*G447/Z447)</f>
        <v/>
      </c>
      <c r="AG447" s="21" t="str">
        <f aca="false">IF(U447&lt;&gt;"Open","",Y447*MAX(0,IF($B447="Short",-1,1)*(H447-IF(K447="",I447,K447))))</f>
        <v/>
      </c>
      <c r="AH447" s="26" t="str">
        <f aca="false">IF(U447&lt;&gt;"Closed","",DATE(YEAR(P447),MONTH(P447),1))</f>
        <v/>
      </c>
      <c r="AI447" s="19" t="str">
        <f aca="false">IF(U447&lt;&gt;"Closed","",COUNTIFS($U$7:$U$506,"Closed",$P$7:$P$506,"&lt;"&amp;P447)+COUNTIFS($U$7:U447,"Closed",$P$7:P447,P447))</f>
        <v/>
      </c>
    </row>
    <row r="448" customFormat="false" ht="15" hidden="false" customHeight="false" outlineLevel="0" collapsed="false">
      <c r="A448" s="13"/>
      <c r="B448" s="14"/>
      <c r="C448" s="14"/>
      <c r="D448" s="14"/>
      <c r="E448" s="15"/>
      <c r="F448" s="15"/>
      <c r="G448" s="16"/>
      <c r="H448" s="17"/>
      <c r="I448" s="17"/>
      <c r="J448" s="17"/>
      <c r="K448" s="17"/>
      <c r="L448" s="16"/>
      <c r="M448" s="17"/>
      <c r="N448" s="16"/>
      <c r="O448" s="17"/>
      <c r="P448" s="15"/>
      <c r="Q448" s="17"/>
      <c r="R448" s="17"/>
      <c r="S448" s="17"/>
      <c r="T448" s="17"/>
      <c r="U448" s="18" t="str">
        <f aca="false">IF(A448="","",IF(N(G448)-N(L448)-N(N448)&lt;0,"Check shares",IF(AND(P448&lt;&gt;"",Q448&lt;&gt;""),"Closed","Open")))</f>
        <v/>
      </c>
      <c r="V448" s="19" t="str">
        <f aca="false">IF(OR(F448="",P448=""),"",NETWORKDAYS(F448,P448,Lists!$F$5:$F$40)-1)</f>
        <v/>
      </c>
      <c r="W448" s="18" t="str">
        <f aca="false">IF(V448="","",IF(V448=0,"Same day","Overnight"))</f>
        <v/>
      </c>
      <c r="X448" s="18" t="str">
        <f aca="false">IF(OR(E448="",F448=""),"",IF(AND(E448&gt;=F448,OR(P448="",E448&lt;=P448)),"Yes","No"))</f>
        <v/>
      </c>
      <c r="Y448" s="20" t="str">
        <f aca="false">IF(A448="","",N(G448)-N(L448)-N(N448))</f>
        <v/>
      </c>
      <c r="Z448" s="21" t="str">
        <f aca="false">IF(OR(G448="",H448="",I448=""),"",ABS(H448-I448)*G448)</f>
        <v/>
      </c>
      <c r="AA448" s="22" t="str">
        <f aca="false">IF(OR(J448="",N(Z448)=0),"",ABS(J448-H448)/ABS(H448-I448))</f>
        <v/>
      </c>
      <c r="AB448" s="23" t="str">
        <f aca="false">IF(U448&lt;&gt;"Closed","",(N(L448)*N(M448)+N(N448)*N(O448)+Y448*Q448)/G448)</f>
        <v/>
      </c>
      <c r="AC448" s="24" t="str">
        <f aca="false">IF(U448&lt;&gt;"Closed","",IF($B448="Short",-1,1)*((N(M448)-H448)*N(L448)+(N(O448)-H448)*N(N448)+(Q448-H448)*Y448)-N(R448))</f>
        <v/>
      </c>
      <c r="AD448" s="25" t="str">
        <f aca="false">IF(OR(AC448="",N(Z448)=0),"",AC448/Z448)</f>
        <v/>
      </c>
      <c r="AE448" s="25" t="str">
        <f aca="false">IF(OR(S448="",N(Z448)=0),"",IF($B448="Short",-1,1)*(S448-H448)*G448/Z448)</f>
        <v/>
      </c>
      <c r="AF448" s="25" t="str">
        <f aca="false">IF(OR(T448="",N(Z448)=0),"",IF($B448="Short",-1,1)*(T448-H448)*G448/Z448)</f>
        <v/>
      </c>
      <c r="AG448" s="21" t="str">
        <f aca="false">IF(U448&lt;&gt;"Open","",Y448*MAX(0,IF($B448="Short",-1,1)*(H448-IF(K448="",I448,K448))))</f>
        <v/>
      </c>
      <c r="AH448" s="26" t="str">
        <f aca="false">IF(U448&lt;&gt;"Closed","",DATE(YEAR(P448),MONTH(P448),1))</f>
        <v/>
      </c>
      <c r="AI448" s="19" t="str">
        <f aca="false">IF(U448&lt;&gt;"Closed","",COUNTIFS($U$7:$U$506,"Closed",$P$7:$P$506,"&lt;"&amp;P448)+COUNTIFS($U$7:U448,"Closed",$P$7:P448,P448))</f>
        <v/>
      </c>
    </row>
    <row r="449" customFormat="false" ht="15" hidden="false" customHeight="false" outlineLevel="0" collapsed="false">
      <c r="A449" s="13"/>
      <c r="B449" s="14"/>
      <c r="C449" s="14"/>
      <c r="D449" s="14"/>
      <c r="E449" s="15"/>
      <c r="F449" s="15"/>
      <c r="G449" s="16"/>
      <c r="H449" s="17"/>
      <c r="I449" s="17"/>
      <c r="J449" s="17"/>
      <c r="K449" s="17"/>
      <c r="L449" s="16"/>
      <c r="M449" s="17"/>
      <c r="N449" s="16"/>
      <c r="O449" s="17"/>
      <c r="P449" s="15"/>
      <c r="Q449" s="17"/>
      <c r="R449" s="17"/>
      <c r="S449" s="17"/>
      <c r="T449" s="17"/>
      <c r="U449" s="18" t="str">
        <f aca="false">IF(A449="","",IF(N(G449)-N(L449)-N(N449)&lt;0,"Check shares",IF(AND(P449&lt;&gt;"",Q449&lt;&gt;""),"Closed","Open")))</f>
        <v/>
      </c>
      <c r="V449" s="19" t="str">
        <f aca="false">IF(OR(F449="",P449=""),"",NETWORKDAYS(F449,P449,Lists!$F$5:$F$40)-1)</f>
        <v/>
      </c>
      <c r="W449" s="18" t="str">
        <f aca="false">IF(V449="","",IF(V449=0,"Same day","Overnight"))</f>
        <v/>
      </c>
      <c r="X449" s="18" t="str">
        <f aca="false">IF(OR(E449="",F449=""),"",IF(AND(E449&gt;=F449,OR(P449="",E449&lt;=P449)),"Yes","No"))</f>
        <v/>
      </c>
      <c r="Y449" s="20" t="str">
        <f aca="false">IF(A449="","",N(G449)-N(L449)-N(N449))</f>
        <v/>
      </c>
      <c r="Z449" s="21" t="str">
        <f aca="false">IF(OR(G449="",H449="",I449=""),"",ABS(H449-I449)*G449)</f>
        <v/>
      </c>
      <c r="AA449" s="22" t="str">
        <f aca="false">IF(OR(J449="",N(Z449)=0),"",ABS(J449-H449)/ABS(H449-I449))</f>
        <v/>
      </c>
      <c r="AB449" s="23" t="str">
        <f aca="false">IF(U449&lt;&gt;"Closed","",(N(L449)*N(M449)+N(N449)*N(O449)+Y449*Q449)/G449)</f>
        <v/>
      </c>
      <c r="AC449" s="24" t="str">
        <f aca="false">IF(U449&lt;&gt;"Closed","",IF($B449="Short",-1,1)*((N(M449)-H449)*N(L449)+(N(O449)-H449)*N(N449)+(Q449-H449)*Y449)-N(R449))</f>
        <v/>
      </c>
      <c r="AD449" s="25" t="str">
        <f aca="false">IF(OR(AC449="",N(Z449)=0),"",AC449/Z449)</f>
        <v/>
      </c>
      <c r="AE449" s="25" t="str">
        <f aca="false">IF(OR(S449="",N(Z449)=0),"",IF($B449="Short",-1,1)*(S449-H449)*G449/Z449)</f>
        <v/>
      </c>
      <c r="AF449" s="25" t="str">
        <f aca="false">IF(OR(T449="",N(Z449)=0),"",IF($B449="Short",-1,1)*(T449-H449)*G449/Z449)</f>
        <v/>
      </c>
      <c r="AG449" s="21" t="str">
        <f aca="false">IF(U449&lt;&gt;"Open","",Y449*MAX(0,IF($B449="Short",-1,1)*(H449-IF(K449="",I449,K449))))</f>
        <v/>
      </c>
      <c r="AH449" s="26" t="str">
        <f aca="false">IF(U449&lt;&gt;"Closed","",DATE(YEAR(P449),MONTH(P449),1))</f>
        <v/>
      </c>
      <c r="AI449" s="19" t="str">
        <f aca="false">IF(U449&lt;&gt;"Closed","",COUNTIFS($U$7:$U$506,"Closed",$P$7:$P$506,"&lt;"&amp;P449)+COUNTIFS($U$7:U449,"Closed",$P$7:P449,P449))</f>
        <v/>
      </c>
    </row>
    <row r="450" customFormat="false" ht="15" hidden="false" customHeight="false" outlineLevel="0" collapsed="false">
      <c r="A450" s="13"/>
      <c r="B450" s="14"/>
      <c r="C450" s="14"/>
      <c r="D450" s="14"/>
      <c r="E450" s="15"/>
      <c r="F450" s="15"/>
      <c r="G450" s="16"/>
      <c r="H450" s="17"/>
      <c r="I450" s="17"/>
      <c r="J450" s="17"/>
      <c r="K450" s="17"/>
      <c r="L450" s="16"/>
      <c r="M450" s="17"/>
      <c r="N450" s="16"/>
      <c r="O450" s="17"/>
      <c r="P450" s="15"/>
      <c r="Q450" s="17"/>
      <c r="R450" s="17"/>
      <c r="S450" s="17"/>
      <c r="T450" s="17"/>
      <c r="U450" s="18" t="str">
        <f aca="false">IF(A450="","",IF(N(G450)-N(L450)-N(N450)&lt;0,"Check shares",IF(AND(P450&lt;&gt;"",Q450&lt;&gt;""),"Closed","Open")))</f>
        <v/>
      </c>
      <c r="V450" s="19" t="str">
        <f aca="false">IF(OR(F450="",P450=""),"",NETWORKDAYS(F450,P450,Lists!$F$5:$F$40)-1)</f>
        <v/>
      </c>
      <c r="W450" s="18" t="str">
        <f aca="false">IF(V450="","",IF(V450=0,"Same day","Overnight"))</f>
        <v/>
      </c>
      <c r="X450" s="18" t="str">
        <f aca="false">IF(OR(E450="",F450=""),"",IF(AND(E450&gt;=F450,OR(P450="",E450&lt;=P450)),"Yes","No"))</f>
        <v/>
      </c>
      <c r="Y450" s="20" t="str">
        <f aca="false">IF(A450="","",N(G450)-N(L450)-N(N450))</f>
        <v/>
      </c>
      <c r="Z450" s="21" t="str">
        <f aca="false">IF(OR(G450="",H450="",I450=""),"",ABS(H450-I450)*G450)</f>
        <v/>
      </c>
      <c r="AA450" s="22" t="str">
        <f aca="false">IF(OR(J450="",N(Z450)=0),"",ABS(J450-H450)/ABS(H450-I450))</f>
        <v/>
      </c>
      <c r="AB450" s="23" t="str">
        <f aca="false">IF(U450&lt;&gt;"Closed","",(N(L450)*N(M450)+N(N450)*N(O450)+Y450*Q450)/G450)</f>
        <v/>
      </c>
      <c r="AC450" s="24" t="str">
        <f aca="false">IF(U450&lt;&gt;"Closed","",IF($B450="Short",-1,1)*((N(M450)-H450)*N(L450)+(N(O450)-H450)*N(N450)+(Q450-H450)*Y450)-N(R450))</f>
        <v/>
      </c>
      <c r="AD450" s="25" t="str">
        <f aca="false">IF(OR(AC450="",N(Z450)=0),"",AC450/Z450)</f>
        <v/>
      </c>
      <c r="AE450" s="25" t="str">
        <f aca="false">IF(OR(S450="",N(Z450)=0),"",IF($B450="Short",-1,1)*(S450-H450)*G450/Z450)</f>
        <v/>
      </c>
      <c r="AF450" s="25" t="str">
        <f aca="false">IF(OR(T450="",N(Z450)=0),"",IF($B450="Short",-1,1)*(T450-H450)*G450/Z450)</f>
        <v/>
      </c>
      <c r="AG450" s="21" t="str">
        <f aca="false">IF(U450&lt;&gt;"Open","",Y450*MAX(0,IF($B450="Short",-1,1)*(H450-IF(K450="",I450,K450))))</f>
        <v/>
      </c>
      <c r="AH450" s="26" t="str">
        <f aca="false">IF(U450&lt;&gt;"Closed","",DATE(YEAR(P450),MONTH(P450),1))</f>
        <v/>
      </c>
      <c r="AI450" s="19" t="str">
        <f aca="false">IF(U450&lt;&gt;"Closed","",COUNTIFS($U$7:$U$506,"Closed",$P$7:$P$506,"&lt;"&amp;P450)+COUNTIFS($U$7:U450,"Closed",$P$7:P450,P450))</f>
        <v/>
      </c>
    </row>
    <row r="451" customFormat="false" ht="15" hidden="false" customHeight="false" outlineLevel="0" collapsed="false">
      <c r="A451" s="13"/>
      <c r="B451" s="14"/>
      <c r="C451" s="14"/>
      <c r="D451" s="14"/>
      <c r="E451" s="15"/>
      <c r="F451" s="15"/>
      <c r="G451" s="16"/>
      <c r="H451" s="17"/>
      <c r="I451" s="17"/>
      <c r="J451" s="17"/>
      <c r="K451" s="17"/>
      <c r="L451" s="16"/>
      <c r="M451" s="17"/>
      <c r="N451" s="16"/>
      <c r="O451" s="17"/>
      <c r="P451" s="15"/>
      <c r="Q451" s="17"/>
      <c r="R451" s="17"/>
      <c r="S451" s="17"/>
      <c r="T451" s="17"/>
      <c r="U451" s="18" t="str">
        <f aca="false">IF(A451="","",IF(N(G451)-N(L451)-N(N451)&lt;0,"Check shares",IF(AND(P451&lt;&gt;"",Q451&lt;&gt;""),"Closed","Open")))</f>
        <v/>
      </c>
      <c r="V451" s="19" t="str">
        <f aca="false">IF(OR(F451="",P451=""),"",NETWORKDAYS(F451,P451,Lists!$F$5:$F$40)-1)</f>
        <v/>
      </c>
      <c r="W451" s="18" t="str">
        <f aca="false">IF(V451="","",IF(V451=0,"Same day","Overnight"))</f>
        <v/>
      </c>
      <c r="X451" s="18" t="str">
        <f aca="false">IF(OR(E451="",F451=""),"",IF(AND(E451&gt;=F451,OR(P451="",E451&lt;=P451)),"Yes","No"))</f>
        <v/>
      </c>
      <c r="Y451" s="20" t="str">
        <f aca="false">IF(A451="","",N(G451)-N(L451)-N(N451))</f>
        <v/>
      </c>
      <c r="Z451" s="21" t="str">
        <f aca="false">IF(OR(G451="",H451="",I451=""),"",ABS(H451-I451)*G451)</f>
        <v/>
      </c>
      <c r="AA451" s="22" t="str">
        <f aca="false">IF(OR(J451="",N(Z451)=0),"",ABS(J451-H451)/ABS(H451-I451))</f>
        <v/>
      </c>
      <c r="AB451" s="23" t="str">
        <f aca="false">IF(U451&lt;&gt;"Closed","",(N(L451)*N(M451)+N(N451)*N(O451)+Y451*Q451)/G451)</f>
        <v/>
      </c>
      <c r="AC451" s="24" t="str">
        <f aca="false">IF(U451&lt;&gt;"Closed","",IF($B451="Short",-1,1)*((N(M451)-H451)*N(L451)+(N(O451)-H451)*N(N451)+(Q451-H451)*Y451)-N(R451))</f>
        <v/>
      </c>
      <c r="AD451" s="25" t="str">
        <f aca="false">IF(OR(AC451="",N(Z451)=0),"",AC451/Z451)</f>
        <v/>
      </c>
      <c r="AE451" s="25" t="str">
        <f aca="false">IF(OR(S451="",N(Z451)=0),"",IF($B451="Short",-1,1)*(S451-H451)*G451/Z451)</f>
        <v/>
      </c>
      <c r="AF451" s="25" t="str">
        <f aca="false">IF(OR(T451="",N(Z451)=0),"",IF($B451="Short",-1,1)*(T451-H451)*G451/Z451)</f>
        <v/>
      </c>
      <c r="AG451" s="21" t="str">
        <f aca="false">IF(U451&lt;&gt;"Open","",Y451*MAX(0,IF($B451="Short",-1,1)*(H451-IF(K451="",I451,K451))))</f>
        <v/>
      </c>
      <c r="AH451" s="26" t="str">
        <f aca="false">IF(U451&lt;&gt;"Closed","",DATE(YEAR(P451),MONTH(P451),1))</f>
        <v/>
      </c>
      <c r="AI451" s="19" t="str">
        <f aca="false">IF(U451&lt;&gt;"Closed","",COUNTIFS($U$7:$U$506,"Closed",$P$7:$P$506,"&lt;"&amp;P451)+COUNTIFS($U$7:U451,"Closed",$P$7:P451,P451))</f>
        <v/>
      </c>
    </row>
    <row r="452" customFormat="false" ht="15" hidden="false" customHeight="false" outlineLevel="0" collapsed="false">
      <c r="A452" s="13"/>
      <c r="B452" s="14"/>
      <c r="C452" s="14"/>
      <c r="D452" s="14"/>
      <c r="E452" s="15"/>
      <c r="F452" s="15"/>
      <c r="G452" s="16"/>
      <c r="H452" s="17"/>
      <c r="I452" s="17"/>
      <c r="J452" s="17"/>
      <c r="K452" s="17"/>
      <c r="L452" s="16"/>
      <c r="M452" s="17"/>
      <c r="N452" s="16"/>
      <c r="O452" s="17"/>
      <c r="P452" s="15"/>
      <c r="Q452" s="17"/>
      <c r="R452" s="17"/>
      <c r="S452" s="17"/>
      <c r="T452" s="17"/>
      <c r="U452" s="18" t="str">
        <f aca="false">IF(A452="","",IF(N(G452)-N(L452)-N(N452)&lt;0,"Check shares",IF(AND(P452&lt;&gt;"",Q452&lt;&gt;""),"Closed","Open")))</f>
        <v/>
      </c>
      <c r="V452" s="19" t="str">
        <f aca="false">IF(OR(F452="",P452=""),"",NETWORKDAYS(F452,P452,Lists!$F$5:$F$40)-1)</f>
        <v/>
      </c>
      <c r="W452" s="18" t="str">
        <f aca="false">IF(V452="","",IF(V452=0,"Same day","Overnight"))</f>
        <v/>
      </c>
      <c r="X452" s="18" t="str">
        <f aca="false">IF(OR(E452="",F452=""),"",IF(AND(E452&gt;=F452,OR(P452="",E452&lt;=P452)),"Yes","No"))</f>
        <v/>
      </c>
      <c r="Y452" s="20" t="str">
        <f aca="false">IF(A452="","",N(G452)-N(L452)-N(N452))</f>
        <v/>
      </c>
      <c r="Z452" s="21" t="str">
        <f aca="false">IF(OR(G452="",H452="",I452=""),"",ABS(H452-I452)*G452)</f>
        <v/>
      </c>
      <c r="AA452" s="22" t="str">
        <f aca="false">IF(OR(J452="",N(Z452)=0),"",ABS(J452-H452)/ABS(H452-I452))</f>
        <v/>
      </c>
      <c r="AB452" s="23" t="str">
        <f aca="false">IF(U452&lt;&gt;"Closed","",(N(L452)*N(M452)+N(N452)*N(O452)+Y452*Q452)/G452)</f>
        <v/>
      </c>
      <c r="AC452" s="24" t="str">
        <f aca="false">IF(U452&lt;&gt;"Closed","",IF($B452="Short",-1,1)*((N(M452)-H452)*N(L452)+(N(O452)-H452)*N(N452)+(Q452-H452)*Y452)-N(R452))</f>
        <v/>
      </c>
      <c r="AD452" s="25" t="str">
        <f aca="false">IF(OR(AC452="",N(Z452)=0),"",AC452/Z452)</f>
        <v/>
      </c>
      <c r="AE452" s="25" t="str">
        <f aca="false">IF(OR(S452="",N(Z452)=0),"",IF($B452="Short",-1,1)*(S452-H452)*G452/Z452)</f>
        <v/>
      </c>
      <c r="AF452" s="25" t="str">
        <f aca="false">IF(OR(T452="",N(Z452)=0),"",IF($B452="Short",-1,1)*(T452-H452)*G452/Z452)</f>
        <v/>
      </c>
      <c r="AG452" s="21" t="str">
        <f aca="false">IF(U452&lt;&gt;"Open","",Y452*MAX(0,IF($B452="Short",-1,1)*(H452-IF(K452="",I452,K452))))</f>
        <v/>
      </c>
      <c r="AH452" s="26" t="str">
        <f aca="false">IF(U452&lt;&gt;"Closed","",DATE(YEAR(P452),MONTH(P452),1))</f>
        <v/>
      </c>
      <c r="AI452" s="19" t="str">
        <f aca="false">IF(U452&lt;&gt;"Closed","",COUNTIFS($U$7:$U$506,"Closed",$P$7:$P$506,"&lt;"&amp;P452)+COUNTIFS($U$7:U452,"Closed",$P$7:P452,P452))</f>
        <v/>
      </c>
    </row>
    <row r="453" customFormat="false" ht="15" hidden="false" customHeight="false" outlineLevel="0" collapsed="false">
      <c r="A453" s="13"/>
      <c r="B453" s="14"/>
      <c r="C453" s="14"/>
      <c r="D453" s="14"/>
      <c r="E453" s="15"/>
      <c r="F453" s="15"/>
      <c r="G453" s="16"/>
      <c r="H453" s="17"/>
      <c r="I453" s="17"/>
      <c r="J453" s="17"/>
      <c r="K453" s="17"/>
      <c r="L453" s="16"/>
      <c r="M453" s="17"/>
      <c r="N453" s="16"/>
      <c r="O453" s="17"/>
      <c r="P453" s="15"/>
      <c r="Q453" s="17"/>
      <c r="R453" s="17"/>
      <c r="S453" s="17"/>
      <c r="T453" s="17"/>
      <c r="U453" s="18" t="str">
        <f aca="false">IF(A453="","",IF(N(G453)-N(L453)-N(N453)&lt;0,"Check shares",IF(AND(P453&lt;&gt;"",Q453&lt;&gt;""),"Closed","Open")))</f>
        <v/>
      </c>
      <c r="V453" s="19" t="str">
        <f aca="false">IF(OR(F453="",P453=""),"",NETWORKDAYS(F453,P453,Lists!$F$5:$F$40)-1)</f>
        <v/>
      </c>
      <c r="W453" s="18" t="str">
        <f aca="false">IF(V453="","",IF(V453=0,"Same day","Overnight"))</f>
        <v/>
      </c>
      <c r="X453" s="18" t="str">
        <f aca="false">IF(OR(E453="",F453=""),"",IF(AND(E453&gt;=F453,OR(P453="",E453&lt;=P453)),"Yes","No"))</f>
        <v/>
      </c>
      <c r="Y453" s="20" t="str">
        <f aca="false">IF(A453="","",N(G453)-N(L453)-N(N453))</f>
        <v/>
      </c>
      <c r="Z453" s="21" t="str">
        <f aca="false">IF(OR(G453="",H453="",I453=""),"",ABS(H453-I453)*G453)</f>
        <v/>
      </c>
      <c r="AA453" s="22" t="str">
        <f aca="false">IF(OR(J453="",N(Z453)=0),"",ABS(J453-H453)/ABS(H453-I453))</f>
        <v/>
      </c>
      <c r="AB453" s="23" t="str">
        <f aca="false">IF(U453&lt;&gt;"Closed","",(N(L453)*N(M453)+N(N453)*N(O453)+Y453*Q453)/G453)</f>
        <v/>
      </c>
      <c r="AC453" s="24" t="str">
        <f aca="false">IF(U453&lt;&gt;"Closed","",IF($B453="Short",-1,1)*((N(M453)-H453)*N(L453)+(N(O453)-H453)*N(N453)+(Q453-H453)*Y453)-N(R453))</f>
        <v/>
      </c>
      <c r="AD453" s="25" t="str">
        <f aca="false">IF(OR(AC453="",N(Z453)=0),"",AC453/Z453)</f>
        <v/>
      </c>
      <c r="AE453" s="25" t="str">
        <f aca="false">IF(OR(S453="",N(Z453)=0),"",IF($B453="Short",-1,1)*(S453-H453)*G453/Z453)</f>
        <v/>
      </c>
      <c r="AF453" s="25" t="str">
        <f aca="false">IF(OR(T453="",N(Z453)=0),"",IF($B453="Short",-1,1)*(T453-H453)*G453/Z453)</f>
        <v/>
      </c>
      <c r="AG453" s="21" t="str">
        <f aca="false">IF(U453&lt;&gt;"Open","",Y453*MAX(0,IF($B453="Short",-1,1)*(H453-IF(K453="",I453,K453))))</f>
        <v/>
      </c>
      <c r="AH453" s="26" t="str">
        <f aca="false">IF(U453&lt;&gt;"Closed","",DATE(YEAR(P453),MONTH(P453),1))</f>
        <v/>
      </c>
      <c r="AI453" s="19" t="str">
        <f aca="false">IF(U453&lt;&gt;"Closed","",COUNTIFS($U$7:$U$506,"Closed",$P$7:$P$506,"&lt;"&amp;P453)+COUNTIFS($U$7:U453,"Closed",$P$7:P453,P453))</f>
        <v/>
      </c>
    </row>
    <row r="454" customFormat="false" ht="15" hidden="false" customHeight="false" outlineLevel="0" collapsed="false">
      <c r="A454" s="13"/>
      <c r="B454" s="14"/>
      <c r="C454" s="14"/>
      <c r="D454" s="14"/>
      <c r="E454" s="15"/>
      <c r="F454" s="15"/>
      <c r="G454" s="16"/>
      <c r="H454" s="17"/>
      <c r="I454" s="17"/>
      <c r="J454" s="17"/>
      <c r="K454" s="17"/>
      <c r="L454" s="16"/>
      <c r="M454" s="17"/>
      <c r="N454" s="16"/>
      <c r="O454" s="17"/>
      <c r="P454" s="15"/>
      <c r="Q454" s="17"/>
      <c r="R454" s="17"/>
      <c r="S454" s="17"/>
      <c r="T454" s="17"/>
      <c r="U454" s="18" t="str">
        <f aca="false">IF(A454="","",IF(N(G454)-N(L454)-N(N454)&lt;0,"Check shares",IF(AND(P454&lt;&gt;"",Q454&lt;&gt;""),"Closed","Open")))</f>
        <v/>
      </c>
      <c r="V454" s="19" t="str">
        <f aca="false">IF(OR(F454="",P454=""),"",NETWORKDAYS(F454,P454,Lists!$F$5:$F$40)-1)</f>
        <v/>
      </c>
      <c r="W454" s="18" t="str">
        <f aca="false">IF(V454="","",IF(V454=0,"Same day","Overnight"))</f>
        <v/>
      </c>
      <c r="X454" s="18" t="str">
        <f aca="false">IF(OR(E454="",F454=""),"",IF(AND(E454&gt;=F454,OR(P454="",E454&lt;=P454)),"Yes","No"))</f>
        <v/>
      </c>
      <c r="Y454" s="20" t="str">
        <f aca="false">IF(A454="","",N(G454)-N(L454)-N(N454))</f>
        <v/>
      </c>
      <c r="Z454" s="21" t="str">
        <f aca="false">IF(OR(G454="",H454="",I454=""),"",ABS(H454-I454)*G454)</f>
        <v/>
      </c>
      <c r="AA454" s="22" t="str">
        <f aca="false">IF(OR(J454="",N(Z454)=0),"",ABS(J454-H454)/ABS(H454-I454))</f>
        <v/>
      </c>
      <c r="AB454" s="23" t="str">
        <f aca="false">IF(U454&lt;&gt;"Closed","",(N(L454)*N(M454)+N(N454)*N(O454)+Y454*Q454)/G454)</f>
        <v/>
      </c>
      <c r="AC454" s="24" t="str">
        <f aca="false">IF(U454&lt;&gt;"Closed","",IF($B454="Short",-1,1)*((N(M454)-H454)*N(L454)+(N(O454)-H454)*N(N454)+(Q454-H454)*Y454)-N(R454))</f>
        <v/>
      </c>
      <c r="AD454" s="25" t="str">
        <f aca="false">IF(OR(AC454="",N(Z454)=0),"",AC454/Z454)</f>
        <v/>
      </c>
      <c r="AE454" s="25" t="str">
        <f aca="false">IF(OR(S454="",N(Z454)=0),"",IF($B454="Short",-1,1)*(S454-H454)*G454/Z454)</f>
        <v/>
      </c>
      <c r="AF454" s="25" t="str">
        <f aca="false">IF(OR(T454="",N(Z454)=0),"",IF($B454="Short",-1,1)*(T454-H454)*G454/Z454)</f>
        <v/>
      </c>
      <c r="AG454" s="21" t="str">
        <f aca="false">IF(U454&lt;&gt;"Open","",Y454*MAX(0,IF($B454="Short",-1,1)*(H454-IF(K454="",I454,K454))))</f>
        <v/>
      </c>
      <c r="AH454" s="26" t="str">
        <f aca="false">IF(U454&lt;&gt;"Closed","",DATE(YEAR(P454),MONTH(P454),1))</f>
        <v/>
      </c>
      <c r="AI454" s="19" t="str">
        <f aca="false">IF(U454&lt;&gt;"Closed","",COUNTIFS($U$7:$U$506,"Closed",$P$7:$P$506,"&lt;"&amp;P454)+COUNTIFS($U$7:U454,"Closed",$P$7:P454,P454))</f>
        <v/>
      </c>
    </row>
    <row r="455" customFormat="false" ht="15" hidden="false" customHeight="false" outlineLevel="0" collapsed="false">
      <c r="A455" s="13"/>
      <c r="B455" s="14"/>
      <c r="C455" s="14"/>
      <c r="D455" s="14"/>
      <c r="E455" s="15"/>
      <c r="F455" s="15"/>
      <c r="G455" s="16"/>
      <c r="H455" s="17"/>
      <c r="I455" s="17"/>
      <c r="J455" s="17"/>
      <c r="K455" s="17"/>
      <c r="L455" s="16"/>
      <c r="M455" s="17"/>
      <c r="N455" s="16"/>
      <c r="O455" s="17"/>
      <c r="P455" s="15"/>
      <c r="Q455" s="17"/>
      <c r="R455" s="17"/>
      <c r="S455" s="17"/>
      <c r="T455" s="17"/>
      <c r="U455" s="18" t="str">
        <f aca="false">IF(A455="","",IF(N(G455)-N(L455)-N(N455)&lt;0,"Check shares",IF(AND(P455&lt;&gt;"",Q455&lt;&gt;""),"Closed","Open")))</f>
        <v/>
      </c>
      <c r="V455" s="19" t="str">
        <f aca="false">IF(OR(F455="",P455=""),"",NETWORKDAYS(F455,P455,Lists!$F$5:$F$40)-1)</f>
        <v/>
      </c>
      <c r="W455" s="18" t="str">
        <f aca="false">IF(V455="","",IF(V455=0,"Same day","Overnight"))</f>
        <v/>
      </c>
      <c r="X455" s="18" t="str">
        <f aca="false">IF(OR(E455="",F455=""),"",IF(AND(E455&gt;=F455,OR(P455="",E455&lt;=P455)),"Yes","No"))</f>
        <v/>
      </c>
      <c r="Y455" s="20" t="str">
        <f aca="false">IF(A455="","",N(G455)-N(L455)-N(N455))</f>
        <v/>
      </c>
      <c r="Z455" s="21" t="str">
        <f aca="false">IF(OR(G455="",H455="",I455=""),"",ABS(H455-I455)*G455)</f>
        <v/>
      </c>
      <c r="AA455" s="22" t="str">
        <f aca="false">IF(OR(J455="",N(Z455)=0),"",ABS(J455-H455)/ABS(H455-I455))</f>
        <v/>
      </c>
      <c r="AB455" s="23" t="str">
        <f aca="false">IF(U455&lt;&gt;"Closed","",(N(L455)*N(M455)+N(N455)*N(O455)+Y455*Q455)/G455)</f>
        <v/>
      </c>
      <c r="AC455" s="24" t="str">
        <f aca="false">IF(U455&lt;&gt;"Closed","",IF($B455="Short",-1,1)*((N(M455)-H455)*N(L455)+(N(O455)-H455)*N(N455)+(Q455-H455)*Y455)-N(R455))</f>
        <v/>
      </c>
      <c r="AD455" s="25" t="str">
        <f aca="false">IF(OR(AC455="",N(Z455)=0),"",AC455/Z455)</f>
        <v/>
      </c>
      <c r="AE455" s="25" t="str">
        <f aca="false">IF(OR(S455="",N(Z455)=0),"",IF($B455="Short",-1,1)*(S455-H455)*G455/Z455)</f>
        <v/>
      </c>
      <c r="AF455" s="25" t="str">
        <f aca="false">IF(OR(T455="",N(Z455)=0),"",IF($B455="Short",-1,1)*(T455-H455)*G455/Z455)</f>
        <v/>
      </c>
      <c r="AG455" s="21" t="str">
        <f aca="false">IF(U455&lt;&gt;"Open","",Y455*MAX(0,IF($B455="Short",-1,1)*(H455-IF(K455="",I455,K455))))</f>
        <v/>
      </c>
      <c r="AH455" s="26" t="str">
        <f aca="false">IF(U455&lt;&gt;"Closed","",DATE(YEAR(P455),MONTH(P455),1))</f>
        <v/>
      </c>
      <c r="AI455" s="19" t="str">
        <f aca="false">IF(U455&lt;&gt;"Closed","",COUNTIFS($U$7:$U$506,"Closed",$P$7:$P$506,"&lt;"&amp;P455)+COUNTIFS($U$7:U455,"Closed",$P$7:P455,P455))</f>
        <v/>
      </c>
    </row>
    <row r="456" customFormat="false" ht="15" hidden="false" customHeight="false" outlineLevel="0" collapsed="false">
      <c r="A456" s="13"/>
      <c r="B456" s="14"/>
      <c r="C456" s="14"/>
      <c r="D456" s="14"/>
      <c r="E456" s="15"/>
      <c r="F456" s="15"/>
      <c r="G456" s="16"/>
      <c r="H456" s="17"/>
      <c r="I456" s="17"/>
      <c r="J456" s="17"/>
      <c r="K456" s="17"/>
      <c r="L456" s="16"/>
      <c r="M456" s="17"/>
      <c r="N456" s="16"/>
      <c r="O456" s="17"/>
      <c r="P456" s="15"/>
      <c r="Q456" s="17"/>
      <c r="R456" s="17"/>
      <c r="S456" s="17"/>
      <c r="T456" s="17"/>
      <c r="U456" s="18" t="str">
        <f aca="false">IF(A456="","",IF(N(G456)-N(L456)-N(N456)&lt;0,"Check shares",IF(AND(P456&lt;&gt;"",Q456&lt;&gt;""),"Closed","Open")))</f>
        <v/>
      </c>
      <c r="V456" s="19" t="str">
        <f aca="false">IF(OR(F456="",P456=""),"",NETWORKDAYS(F456,P456,Lists!$F$5:$F$40)-1)</f>
        <v/>
      </c>
      <c r="W456" s="18" t="str">
        <f aca="false">IF(V456="","",IF(V456=0,"Same day","Overnight"))</f>
        <v/>
      </c>
      <c r="X456" s="18" t="str">
        <f aca="false">IF(OR(E456="",F456=""),"",IF(AND(E456&gt;=F456,OR(P456="",E456&lt;=P456)),"Yes","No"))</f>
        <v/>
      </c>
      <c r="Y456" s="20" t="str">
        <f aca="false">IF(A456="","",N(G456)-N(L456)-N(N456))</f>
        <v/>
      </c>
      <c r="Z456" s="21" t="str">
        <f aca="false">IF(OR(G456="",H456="",I456=""),"",ABS(H456-I456)*G456)</f>
        <v/>
      </c>
      <c r="AA456" s="22" t="str">
        <f aca="false">IF(OR(J456="",N(Z456)=0),"",ABS(J456-H456)/ABS(H456-I456))</f>
        <v/>
      </c>
      <c r="AB456" s="23" t="str">
        <f aca="false">IF(U456&lt;&gt;"Closed","",(N(L456)*N(M456)+N(N456)*N(O456)+Y456*Q456)/G456)</f>
        <v/>
      </c>
      <c r="AC456" s="24" t="str">
        <f aca="false">IF(U456&lt;&gt;"Closed","",IF($B456="Short",-1,1)*((N(M456)-H456)*N(L456)+(N(O456)-H456)*N(N456)+(Q456-H456)*Y456)-N(R456))</f>
        <v/>
      </c>
      <c r="AD456" s="25" t="str">
        <f aca="false">IF(OR(AC456="",N(Z456)=0),"",AC456/Z456)</f>
        <v/>
      </c>
      <c r="AE456" s="25" t="str">
        <f aca="false">IF(OR(S456="",N(Z456)=0),"",IF($B456="Short",-1,1)*(S456-H456)*G456/Z456)</f>
        <v/>
      </c>
      <c r="AF456" s="25" t="str">
        <f aca="false">IF(OR(T456="",N(Z456)=0),"",IF($B456="Short",-1,1)*(T456-H456)*G456/Z456)</f>
        <v/>
      </c>
      <c r="AG456" s="21" t="str">
        <f aca="false">IF(U456&lt;&gt;"Open","",Y456*MAX(0,IF($B456="Short",-1,1)*(H456-IF(K456="",I456,K456))))</f>
        <v/>
      </c>
      <c r="AH456" s="26" t="str">
        <f aca="false">IF(U456&lt;&gt;"Closed","",DATE(YEAR(P456),MONTH(P456),1))</f>
        <v/>
      </c>
      <c r="AI456" s="19" t="str">
        <f aca="false">IF(U456&lt;&gt;"Closed","",COUNTIFS($U$7:$U$506,"Closed",$P$7:$P$506,"&lt;"&amp;P456)+COUNTIFS($U$7:U456,"Closed",$P$7:P456,P456))</f>
        <v/>
      </c>
    </row>
    <row r="457" customFormat="false" ht="15" hidden="false" customHeight="false" outlineLevel="0" collapsed="false">
      <c r="A457" s="13"/>
      <c r="B457" s="14"/>
      <c r="C457" s="14"/>
      <c r="D457" s="14"/>
      <c r="E457" s="15"/>
      <c r="F457" s="15"/>
      <c r="G457" s="16"/>
      <c r="H457" s="17"/>
      <c r="I457" s="17"/>
      <c r="J457" s="17"/>
      <c r="K457" s="17"/>
      <c r="L457" s="16"/>
      <c r="M457" s="17"/>
      <c r="N457" s="16"/>
      <c r="O457" s="17"/>
      <c r="P457" s="15"/>
      <c r="Q457" s="17"/>
      <c r="R457" s="17"/>
      <c r="S457" s="17"/>
      <c r="T457" s="17"/>
      <c r="U457" s="18" t="str">
        <f aca="false">IF(A457="","",IF(N(G457)-N(L457)-N(N457)&lt;0,"Check shares",IF(AND(P457&lt;&gt;"",Q457&lt;&gt;""),"Closed","Open")))</f>
        <v/>
      </c>
      <c r="V457" s="19" t="str">
        <f aca="false">IF(OR(F457="",P457=""),"",NETWORKDAYS(F457,P457,Lists!$F$5:$F$40)-1)</f>
        <v/>
      </c>
      <c r="W457" s="18" t="str">
        <f aca="false">IF(V457="","",IF(V457=0,"Same day","Overnight"))</f>
        <v/>
      </c>
      <c r="X457" s="18" t="str">
        <f aca="false">IF(OR(E457="",F457=""),"",IF(AND(E457&gt;=F457,OR(P457="",E457&lt;=P457)),"Yes","No"))</f>
        <v/>
      </c>
      <c r="Y457" s="20" t="str">
        <f aca="false">IF(A457="","",N(G457)-N(L457)-N(N457))</f>
        <v/>
      </c>
      <c r="Z457" s="21" t="str">
        <f aca="false">IF(OR(G457="",H457="",I457=""),"",ABS(H457-I457)*G457)</f>
        <v/>
      </c>
      <c r="AA457" s="22" t="str">
        <f aca="false">IF(OR(J457="",N(Z457)=0),"",ABS(J457-H457)/ABS(H457-I457))</f>
        <v/>
      </c>
      <c r="AB457" s="23" t="str">
        <f aca="false">IF(U457&lt;&gt;"Closed","",(N(L457)*N(M457)+N(N457)*N(O457)+Y457*Q457)/G457)</f>
        <v/>
      </c>
      <c r="AC457" s="24" t="str">
        <f aca="false">IF(U457&lt;&gt;"Closed","",IF($B457="Short",-1,1)*((N(M457)-H457)*N(L457)+(N(O457)-H457)*N(N457)+(Q457-H457)*Y457)-N(R457))</f>
        <v/>
      </c>
      <c r="AD457" s="25" t="str">
        <f aca="false">IF(OR(AC457="",N(Z457)=0),"",AC457/Z457)</f>
        <v/>
      </c>
      <c r="AE457" s="25" t="str">
        <f aca="false">IF(OR(S457="",N(Z457)=0),"",IF($B457="Short",-1,1)*(S457-H457)*G457/Z457)</f>
        <v/>
      </c>
      <c r="AF457" s="25" t="str">
        <f aca="false">IF(OR(T457="",N(Z457)=0),"",IF($B457="Short",-1,1)*(T457-H457)*G457/Z457)</f>
        <v/>
      </c>
      <c r="AG457" s="21" t="str">
        <f aca="false">IF(U457&lt;&gt;"Open","",Y457*MAX(0,IF($B457="Short",-1,1)*(H457-IF(K457="",I457,K457))))</f>
        <v/>
      </c>
      <c r="AH457" s="26" t="str">
        <f aca="false">IF(U457&lt;&gt;"Closed","",DATE(YEAR(P457),MONTH(P457),1))</f>
        <v/>
      </c>
      <c r="AI457" s="19" t="str">
        <f aca="false">IF(U457&lt;&gt;"Closed","",COUNTIFS($U$7:$U$506,"Closed",$P$7:$P$506,"&lt;"&amp;P457)+COUNTIFS($U$7:U457,"Closed",$P$7:P457,P457))</f>
        <v/>
      </c>
    </row>
    <row r="458" customFormat="false" ht="15" hidden="false" customHeight="false" outlineLevel="0" collapsed="false">
      <c r="A458" s="13"/>
      <c r="B458" s="14"/>
      <c r="C458" s="14"/>
      <c r="D458" s="14"/>
      <c r="E458" s="15"/>
      <c r="F458" s="15"/>
      <c r="G458" s="16"/>
      <c r="H458" s="17"/>
      <c r="I458" s="17"/>
      <c r="J458" s="17"/>
      <c r="K458" s="17"/>
      <c r="L458" s="16"/>
      <c r="M458" s="17"/>
      <c r="N458" s="16"/>
      <c r="O458" s="17"/>
      <c r="P458" s="15"/>
      <c r="Q458" s="17"/>
      <c r="R458" s="17"/>
      <c r="S458" s="17"/>
      <c r="T458" s="17"/>
      <c r="U458" s="18" t="str">
        <f aca="false">IF(A458="","",IF(N(G458)-N(L458)-N(N458)&lt;0,"Check shares",IF(AND(P458&lt;&gt;"",Q458&lt;&gt;""),"Closed","Open")))</f>
        <v/>
      </c>
      <c r="V458" s="19" t="str">
        <f aca="false">IF(OR(F458="",P458=""),"",NETWORKDAYS(F458,P458,Lists!$F$5:$F$40)-1)</f>
        <v/>
      </c>
      <c r="W458" s="18" t="str">
        <f aca="false">IF(V458="","",IF(V458=0,"Same day","Overnight"))</f>
        <v/>
      </c>
      <c r="X458" s="18" t="str">
        <f aca="false">IF(OR(E458="",F458=""),"",IF(AND(E458&gt;=F458,OR(P458="",E458&lt;=P458)),"Yes","No"))</f>
        <v/>
      </c>
      <c r="Y458" s="20" t="str">
        <f aca="false">IF(A458="","",N(G458)-N(L458)-N(N458))</f>
        <v/>
      </c>
      <c r="Z458" s="21" t="str">
        <f aca="false">IF(OR(G458="",H458="",I458=""),"",ABS(H458-I458)*G458)</f>
        <v/>
      </c>
      <c r="AA458" s="22" t="str">
        <f aca="false">IF(OR(J458="",N(Z458)=0),"",ABS(J458-H458)/ABS(H458-I458))</f>
        <v/>
      </c>
      <c r="AB458" s="23" t="str">
        <f aca="false">IF(U458&lt;&gt;"Closed","",(N(L458)*N(M458)+N(N458)*N(O458)+Y458*Q458)/G458)</f>
        <v/>
      </c>
      <c r="AC458" s="24" t="str">
        <f aca="false">IF(U458&lt;&gt;"Closed","",IF($B458="Short",-1,1)*((N(M458)-H458)*N(L458)+(N(O458)-H458)*N(N458)+(Q458-H458)*Y458)-N(R458))</f>
        <v/>
      </c>
      <c r="AD458" s="25" t="str">
        <f aca="false">IF(OR(AC458="",N(Z458)=0),"",AC458/Z458)</f>
        <v/>
      </c>
      <c r="AE458" s="25" t="str">
        <f aca="false">IF(OR(S458="",N(Z458)=0),"",IF($B458="Short",-1,1)*(S458-H458)*G458/Z458)</f>
        <v/>
      </c>
      <c r="AF458" s="25" t="str">
        <f aca="false">IF(OR(T458="",N(Z458)=0),"",IF($B458="Short",-1,1)*(T458-H458)*G458/Z458)</f>
        <v/>
      </c>
      <c r="AG458" s="21" t="str">
        <f aca="false">IF(U458&lt;&gt;"Open","",Y458*MAX(0,IF($B458="Short",-1,1)*(H458-IF(K458="",I458,K458))))</f>
        <v/>
      </c>
      <c r="AH458" s="26" t="str">
        <f aca="false">IF(U458&lt;&gt;"Closed","",DATE(YEAR(P458),MONTH(P458),1))</f>
        <v/>
      </c>
      <c r="AI458" s="19" t="str">
        <f aca="false">IF(U458&lt;&gt;"Closed","",COUNTIFS($U$7:$U$506,"Closed",$P$7:$P$506,"&lt;"&amp;P458)+COUNTIFS($U$7:U458,"Closed",$P$7:P458,P458))</f>
        <v/>
      </c>
    </row>
    <row r="459" customFormat="false" ht="15" hidden="false" customHeight="false" outlineLevel="0" collapsed="false">
      <c r="A459" s="13"/>
      <c r="B459" s="14"/>
      <c r="C459" s="14"/>
      <c r="D459" s="14"/>
      <c r="E459" s="15"/>
      <c r="F459" s="15"/>
      <c r="G459" s="16"/>
      <c r="H459" s="17"/>
      <c r="I459" s="17"/>
      <c r="J459" s="17"/>
      <c r="K459" s="17"/>
      <c r="L459" s="16"/>
      <c r="M459" s="17"/>
      <c r="N459" s="16"/>
      <c r="O459" s="17"/>
      <c r="P459" s="15"/>
      <c r="Q459" s="17"/>
      <c r="R459" s="17"/>
      <c r="S459" s="17"/>
      <c r="T459" s="17"/>
      <c r="U459" s="18" t="str">
        <f aca="false">IF(A459="","",IF(N(G459)-N(L459)-N(N459)&lt;0,"Check shares",IF(AND(P459&lt;&gt;"",Q459&lt;&gt;""),"Closed","Open")))</f>
        <v/>
      </c>
      <c r="V459" s="19" t="str">
        <f aca="false">IF(OR(F459="",P459=""),"",NETWORKDAYS(F459,P459,Lists!$F$5:$F$40)-1)</f>
        <v/>
      </c>
      <c r="W459" s="18" t="str">
        <f aca="false">IF(V459="","",IF(V459=0,"Same day","Overnight"))</f>
        <v/>
      </c>
      <c r="X459" s="18" t="str">
        <f aca="false">IF(OR(E459="",F459=""),"",IF(AND(E459&gt;=F459,OR(P459="",E459&lt;=P459)),"Yes","No"))</f>
        <v/>
      </c>
      <c r="Y459" s="20" t="str">
        <f aca="false">IF(A459="","",N(G459)-N(L459)-N(N459))</f>
        <v/>
      </c>
      <c r="Z459" s="21" t="str">
        <f aca="false">IF(OR(G459="",H459="",I459=""),"",ABS(H459-I459)*G459)</f>
        <v/>
      </c>
      <c r="AA459" s="22" t="str">
        <f aca="false">IF(OR(J459="",N(Z459)=0),"",ABS(J459-H459)/ABS(H459-I459))</f>
        <v/>
      </c>
      <c r="AB459" s="23" t="str">
        <f aca="false">IF(U459&lt;&gt;"Closed","",(N(L459)*N(M459)+N(N459)*N(O459)+Y459*Q459)/G459)</f>
        <v/>
      </c>
      <c r="AC459" s="24" t="str">
        <f aca="false">IF(U459&lt;&gt;"Closed","",IF($B459="Short",-1,1)*((N(M459)-H459)*N(L459)+(N(O459)-H459)*N(N459)+(Q459-H459)*Y459)-N(R459))</f>
        <v/>
      </c>
      <c r="AD459" s="25" t="str">
        <f aca="false">IF(OR(AC459="",N(Z459)=0),"",AC459/Z459)</f>
        <v/>
      </c>
      <c r="AE459" s="25" t="str">
        <f aca="false">IF(OR(S459="",N(Z459)=0),"",IF($B459="Short",-1,1)*(S459-H459)*G459/Z459)</f>
        <v/>
      </c>
      <c r="AF459" s="25" t="str">
        <f aca="false">IF(OR(T459="",N(Z459)=0),"",IF($B459="Short",-1,1)*(T459-H459)*G459/Z459)</f>
        <v/>
      </c>
      <c r="AG459" s="21" t="str">
        <f aca="false">IF(U459&lt;&gt;"Open","",Y459*MAX(0,IF($B459="Short",-1,1)*(H459-IF(K459="",I459,K459))))</f>
        <v/>
      </c>
      <c r="AH459" s="26" t="str">
        <f aca="false">IF(U459&lt;&gt;"Closed","",DATE(YEAR(P459),MONTH(P459),1))</f>
        <v/>
      </c>
      <c r="AI459" s="19" t="str">
        <f aca="false">IF(U459&lt;&gt;"Closed","",COUNTIFS($U$7:$U$506,"Closed",$P$7:$P$506,"&lt;"&amp;P459)+COUNTIFS($U$7:U459,"Closed",$P$7:P459,P459))</f>
        <v/>
      </c>
    </row>
    <row r="460" customFormat="false" ht="15" hidden="false" customHeight="false" outlineLevel="0" collapsed="false">
      <c r="A460" s="13"/>
      <c r="B460" s="14"/>
      <c r="C460" s="14"/>
      <c r="D460" s="14"/>
      <c r="E460" s="15"/>
      <c r="F460" s="15"/>
      <c r="G460" s="16"/>
      <c r="H460" s="17"/>
      <c r="I460" s="17"/>
      <c r="J460" s="17"/>
      <c r="K460" s="17"/>
      <c r="L460" s="16"/>
      <c r="M460" s="17"/>
      <c r="N460" s="16"/>
      <c r="O460" s="17"/>
      <c r="P460" s="15"/>
      <c r="Q460" s="17"/>
      <c r="R460" s="17"/>
      <c r="S460" s="17"/>
      <c r="T460" s="17"/>
      <c r="U460" s="18" t="str">
        <f aca="false">IF(A460="","",IF(N(G460)-N(L460)-N(N460)&lt;0,"Check shares",IF(AND(P460&lt;&gt;"",Q460&lt;&gt;""),"Closed","Open")))</f>
        <v/>
      </c>
      <c r="V460" s="19" t="str">
        <f aca="false">IF(OR(F460="",P460=""),"",NETWORKDAYS(F460,P460,Lists!$F$5:$F$40)-1)</f>
        <v/>
      </c>
      <c r="W460" s="18" t="str">
        <f aca="false">IF(V460="","",IF(V460=0,"Same day","Overnight"))</f>
        <v/>
      </c>
      <c r="X460" s="18" t="str">
        <f aca="false">IF(OR(E460="",F460=""),"",IF(AND(E460&gt;=F460,OR(P460="",E460&lt;=P460)),"Yes","No"))</f>
        <v/>
      </c>
      <c r="Y460" s="20" t="str">
        <f aca="false">IF(A460="","",N(G460)-N(L460)-N(N460))</f>
        <v/>
      </c>
      <c r="Z460" s="21" t="str">
        <f aca="false">IF(OR(G460="",H460="",I460=""),"",ABS(H460-I460)*G460)</f>
        <v/>
      </c>
      <c r="AA460" s="22" t="str">
        <f aca="false">IF(OR(J460="",N(Z460)=0),"",ABS(J460-H460)/ABS(H460-I460))</f>
        <v/>
      </c>
      <c r="AB460" s="23" t="str">
        <f aca="false">IF(U460&lt;&gt;"Closed","",(N(L460)*N(M460)+N(N460)*N(O460)+Y460*Q460)/G460)</f>
        <v/>
      </c>
      <c r="AC460" s="24" t="str">
        <f aca="false">IF(U460&lt;&gt;"Closed","",IF($B460="Short",-1,1)*((N(M460)-H460)*N(L460)+(N(O460)-H460)*N(N460)+(Q460-H460)*Y460)-N(R460))</f>
        <v/>
      </c>
      <c r="AD460" s="25" t="str">
        <f aca="false">IF(OR(AC460="",N(Z460)=0),"",AC460/Z460)</f>
        <v/>
      </c>
      <c r="AE460" s="25" t="str">
        <f aca="false">IF(OR(S460="",N(Z460)=0),"",IF($B460="Short",-1,1)*(S460-H460)*G460/Z460)</f>
        <v/>
      </c>
      <c r="AF460" s="25" t="str">
        <f aca="false">IF(OR(T460="",N(Z460)=0),"",IF($B460="Short",-1,1)*(T460-H460)*G460/Z460)</f>
        <v/>
      </c>
      <c r="AG460" s="21" t="str">
        <f aca="false">IF(U460&lt;&gt;"Open","",Y460*MAX(0,IF($B460="Short",-1,1)*(H460-IF(K460="",I460,K460))))</f>
        <v/>
      </c>
      <c r="AH460" s="26" t="str">
        <f aca="false">IF(U460&lt;&gt;"Closed","",DATE(YEAR(P460),MONTH(P460),1))</f>
        <v/>
      </c>
      <c r="AI460" s="19" t="str">
        <f aca="false">IF(U460&lt;&gt;"Closed","",COUNTIFS($U$7:$U$506,"Closed",$P$7:$P$506,"&lt;"&amp;P460)+COUNTIFS($U$7:U460,"Closed",$P$7:P460,P460))</f>
        <v/>
      </c>
    </row>
    <row r="461" customFormat="false" ht="15" hidden="false" customHeight="false" outlineLevel="0" collapsed="false">
      <c r="A461" s="13"/>
      <c r="B461" s="14"/>
      <c r="C461" s="14"/>
      <c r="D461" s="14"/>
      <c r="E461" s="15"/>
      <c r="F461" s="15"/>
      <c r="G461" s="16"/>
      <c r="H461" s="17"/>
      <c r="I461" s="17"/>
      <c r="J461" s="17"/>
      <c r="K461" s="17"/>
      <c r="L461" s="16"/>
      <c r="M461" s="17"/>
      <c r="N461" s="16"/>
      <c r="O461" s="17"/>
      <c r="P461" s="15"/>
      <c r="Q461" s="17"/>
      <c r="R461" s="17"/>
      <c r="S461" s="17"/>
      <c r="T461" s="17"/>
      <c r="U461" s="18" t="str">
        <f aca="false">IF(A461="","",IF(N(G461)-N(L461)-N(N461)&lt;0,"Check shares",IF(AND(P461&lt;&gt;"",Q461&lt;&gt;""),"Closed","Open")))</f>
        <v/>
      </c>
      <c r="V461" s="19" t="str">
        <f aca="false">IF(OR(F461="",P461=""),"",NETWORKDAYS(F461,P461,Lists!$F$5:$F$40)-1)</f>
        <v/>
      </c>
      <c r="W461" s="18" t="str">
        <f aca="false">IF(V461="","",IF(V461=0,"Same day","Overnight"))</f>
        <v/>
      </c>
      <c r="X461" s="18" t="str">
        <f aca="false">IF(OR(E461="",F461=""),"",IF(AND(E461&gt;=F461,OR(P461="",E461&lt;=P461)),"Yes","No"))</f>
        <v/>
      </c>
      <c r="Y461" s="20" t="str">
        <f aca="false">IF(A461="","",N(G461)-N(L461)-N(N461))</f>
        <v/>
      </c>
      <c r="Z461" s="21" t="str">
        <f aca="false">IF(OR(G461="",H461="",I461=""),"",ABS(H461-I461)*G461)</f>
        <v/>
      </c>
      <c r="AA461" s="22" t="str">
        <f aca="false">IF(OR(J461="",N(Z461)=0),"",ABS(J461-H461)/ABS(H461-I461))</f>
        <v/>
      </c>
      <c r="AB461" s="23" t="str">
        <f aca="false">IF(U461&lt;&gt;"Closed","",(N(L461)*N(M461)+N(N461)*N(O461)+Y461*Q461)/G461)</f>
        <v/>
      </c>
      <c r="AC461" s="24" t="str">
        <f aca="false">IF(U461&lt;&gt;"Closed","",IF($B461="Short",-1,1)*((N(M461)-H461)*N(L461)+(N(O461)-H461)*N(N461)+(Q461-H461)*Y461)-N(R461))</f>
        <v/>
      </c>
      <c r="AD461" s="25" t="str">
        <f aca="false">IF(OR(AC461="",N(Z461)=0),"",AC461/Z461)</f>
        <v/>
      </c>
      <c r="AE461" s="25" t="str">
        <f aca="false">IF(OR(S461="",N(Z461)=0),"",IF($B461="Short",-1,1)*(S461-H461)*G461/Z461)</f>
        <v/>
      </c>
      <c r="AF461" s="25" t="str">
        <f aca="false">IF(OR(T461="",N(Z461)=0),"",IF($B461="Short",-1,1)*(T461-H461)*G461/Z461)</f>
        <v/>
      </c>
      <c r="AG461" s="21" t="str">
        <f aca="false">IF(U461&lt;&gt;"Open","",Y461*MAX(0,IF($B461="Short",-1,1)*(H461-IF(K461="",I461,K461))))</f>
        <v/>
      </c>
      <c r="AH461" s="26" t="str">
        <f aca="false">IF(U461&lt;&gt;"Closed","",DATE(YEAR(P461),MONTH(P461),1))</f>
        <v/>
      </c>
      <c r="AI461" s="19" t="str">
        <f aca="false">IF(U461&lt;&gt;"Closed","",COUNTIFS($U$7:$U$506,"Closed",$P$7:$P$506,"&lt;"&amp;P461)+COUNTIFS($U$7:U461,"Closed",$P$7:P461,P461))</f>
        <v/>
      </c>
    </row>
    <row r="462" customFormat="false" ht="15" hidden="false" customHeight="false" outlineLevel="0" collapsed="false">
      <c r="A462" s="13"/>
      <c r="B462" s="14"/>
      <c r="C462" s="14"/>
      <c r="D462" s="14"/>
      <c r="E462" s="15"/>
      <c r="F462" s="15"/>
      <c r="G462" s="16"/>
      <c r="H462" s="17"/>
      <c r="I462" s="17"/>
      <c r="J462" s="17"/>
      <c r="K462" s="17"/>
      <c r="L462" s="16"/>
      <c r="M462" s="17"/>
      <c r="N462" s="16"/>
      <c r="O462" s="17"/>
      <c r="P462" s="15"/>
      <c r="Q462" s="17"/>
      <c r="R462" s="17"/>
      <c r="S462" s="17"/>
      <c r="T462" s="17"/>
      <c r="U462" s="18" t="str">
        <f aca="false">IF(A462="","",IF(N(G462)-N(L462)-N(N462)&lt;0,"Check shares",IF(AND(P462&lt;&gt;"",Q462&lt;&gt;""),"Closed","Open")))</f>
        <v/>
      </c>
      <c r="V462" s="19" t="str">
        <f aca="false">IF(OR(F462="",P462=""),"",NETWORKDAYS(F462,P462,Lists!$F$5:$F$40)-1)</f>
        <v/>
      </c>
      <c r="W462" s="18" t="str">
        <f aca="false">IF(V462="","",IF(V462=0,"Same day","Overnight"))</f>
        <v/>
      </c>
      <c r="X462" s="18" t="str">
        <f aca="false">IF(OR(E462="",F462=""),"",IF(AND(E462&gt;=F462,OR(P462="",E462&lt;=P462)),"Yes","No"))</f>
        <v/>
      </c>
      <c r="Y462" s="20" t="str">
        <f aca="false">IF(A462="","",N(G462)-N(L462)-N(N462))</f>
        <v/>
      </c>
      <c r="Z462" s="21" t="str">
        <f aca="false">IF(OR(G462="",H462="",I462=""),"",ABS(H462-I462)*G462)</f>
        <v/>
      </c>
      <c r="AA462" s="22" t="str">
        <f aca="false">IF(OR(J462="",N(Z462)=0),"",ABS(J462-H462)/ABS(H462-I462))</f>
        <v/>
      </c>
      <c r="AB462" s="23" t="str">
        <f aca="false">IF(U462&lt;&gt;"Closed","",(N(L462)*N(M462)+N(N462)*N(O462)+Y462*Q462)/G462)</f>
        <v/>
      </c>
      <c r="AC462" s="24" t="str">
        <f aca="false">IF(U462&lt;&gt;"Closed","",IF($B462="Short",-1,1)*((N(M462)-H462)*N(L462)+(N(O462)-H462)*N(N462)+(Q462-H462)*Y462)-N(R462))</f>
        <v/>
      </c>
      <c r="AD462" s="25" t="str">
        <f aca="false">IF(OR(AC462="",N(Z462)=0),"",AC462/Z462)</f>
        <v/>
      </c>
      <c r="AE462" s="25" t="str">
        <f aca="false">IF(OR(S462="",N(Z462)=0),"",IF($B462="Short",-1,1)*(S462-H462)*G462/Z462)</f>
        <v/>
      </c>
      <c r="AF462" s="25" t="str">
        <f aca="false">IF(OR(T462="",N(Z462)=0),"",IF($B462="Short",-1,1)*(T462-H462)*G462/Z462)</f>
        <v/>
      </c>
      <c r="AG462" s="21" t="str">
        <f aca="false">IF(U462&lt;&gt;"Open","",Y462*MAX(0,IF($B462="Short",-1,1)*(H462-IF(K462="",I462,K462))))</f>
        <v/>
      </c>
      <c r="AH462" s="26" t="str">
        <f aca="false">IF(U462&lt;&gt;"Closed","",DATE(YEAR(P462),MONTH(P462),1))</f>
        <v/>
      </c>
      <c r="AI462" s="19" t="str">
        <f aca="false">IF(U462&lt;&gt;"Closed","",COUNTIFS($U$7:$U$506,"Closed",$P$7:$P$506,"&lt;"&amp;P462)+COUNTIFS($U$7:U462,"Closed",$P$7:P462,P462))</f>
        <v/>
      </c>
    </row>
    <row r="463" customFormat="false" ht="15" hidden="false" customHeight="false" outlineLevel="0" collapsed="false">
      <c r="A463" s="13"/>
      <c r="B463" s="14"/>
      <c r="C463" s="14"/>
      <c r="D463" s="14"/>
      <c r="E463" s="15"/>
      <c r="F463" s="15"/>
      <c r="G463" s="16"/>
      <c r="H463" s="17"/>
      <c r="I463" s="17"/>
      <c r="J463" s="17"/>
      <c r="K463" s="17"/>
      <c r="L463" s="16"/>
      <c r="M463" s="17"/>
      <c r="N463" s="16"/>
      <c r="O463" s="17"/>
      <c r="P463" s="15"/>
      <c r="Q463" s="17"/>
      <c r="R463" s="17"/>
      <c r="S463" s="17"/>
      <c r="T463" s="17"/>
      <c r="U463" s="18" t="str">
        <f aca="false">IF(A463="","",IF(N(G463)-N(L463)-N(N463)&lt;0,"Check shares",IF(AND(P463&lt;&gt;"",Q463&lt;&gt;""),"Closed","Open")))</f>
        <v/>
      </c>
      <c r="V463" s="19" t="str">
        <f aca="false">IF(OR(F463="",P463=""),"",NETWORKDAYS(F463,P463,Lists!$F$5:$F$40)-1)</f>
        <v/>
      </c>
      <c r="W463" s="18" t="str">
        <f aca="false">IF(V463="","",IF(V463=0,"Same day","Overnight"))</f>
        <v/>
      </c>
      <c r="X463" s="18" t="str">
        <f aca="false">IF(OR(E463="",F463=""),"",IF(AND(E463&gt;=F463,OR(P463="",E463&lt;=P463)),"Yes","No"))</f>
        <v/>
      </c>
      <c r="Y463" s="20" t="str">
        <f aca="false">IF(A463="","",N(G463)-N(L463)-N(N463))</f>
        <v/>
      </c>
      <c r="Z463" s="21" t="str">
        <f aca="false">IF(OR(G463="",H463="",I463=""),"",ABS(H463-I463)*G463)</f>
        <v/>
      </c>
      <c r="AA463" s="22" t="str">
        <f aca="false">IF(OR(J463="",N(Z463)=0),"",ABS(J463-H463)/ABS(H463-I463))</f>
        <v/>
      </c>
      <c r="AB463" s="23" t="str">
        <f aca="false">IF(U463&lt;&gt;"Closed","",(N(L463)*N(M463)+N(N463)*N(O463)+Y463*Q463)/G463)</f>
        <v/>
      </c>
      <c r="AC463" s="24" t="str">
        <f aca="false">IF(U463&lt;&gt;"Closed","",IF($B463="Short",-1,1)*((N(M463)-H463)*N(L463)+(N(O463)-H463)*N(N463)+(Q463-H463)*Y463)-N(R463))</f>
        <v/>
      </c>
      <c r="AD463" s="25" t="str">
        <f aca="false">IF(OR(AC463="",N(Z463)=0),"",AC463/Z463)</f>
        <v/>
      </c>
      <c r="AE463" s="25" t="str">
        <f aca="false">IF(OR(S463="",N(Z463)=0),"",IF($B463="Short",-1,1)*(S463-H463)*G463/Z463)</f>
        <v/>
      </c>
      <c r="AF463" s="25" t="str">
        <f aca="false">IF(OR(T463="",N(Z463)=0),"",IF($B463="Short",-1,1)*(T463-H463)*G463/Z463)</f>
        <v/>
      </c>
      <c r="AG463" s="21" t="str">
        <f aca="false">IF(U463&lt;&gt;"Open","",Y463*MAX(0,IF($B463="Short",-1,1)*(H463-IF(K463="",I463,K463))))</f>
        <v/>
      </c>
      <c r="AH463" s="26" t="str">
        <f aca="false">IF(U463&lt;&gt;"Closed","",DATE(YEAR(P463),MONTH(P463),1))</f>
        <v/>
      </c>
      <c r="AI463" s="19" t="str">
        <f aca="false">IF(U463&lt;&gt;"Closed","",COUNTIFS($U$7:$U$506,"Closed",$P$7:$P$506,"&lt;"&amp;P463)+COUNTIFS($U$7:U463,"Closed",$P$7:P463,P463))</f>
        <v/>
      </c>
    </row>
    <row r="464" customFormat="false" ht="15" hidden="false" customHeight="false" outlineLevel="0" collapsed="false">
      <c r="A464" s="13"/>
      <c r="B464" s="14"/>
      <c r="C464" s="14"/>
      <c r="D464" s="14"/>
      <c r="E464" s="15"/>
      <c r="F464" s="15"/>
      <c r="G464" s="16"/>
      <c r="H464" s="17"/>
      <c r="I464" s="17"/>
      <c r="J464" s="17"/>
      <c r="K464" s="17"/>
      <c r="L464" s="16"/>
      <c r="M464" s="17"/>
      <c r="N464" s="16"/>
      <c r="O464" s="17"/>
      <c r="P464" s="15"/>
      <c r="Q464" s="17"/>
      <c r="R464" s="17"/>
      <c r="S464" s="17"/>
      <c r="T464" s="17"/>
      <c r="U464" s="18" t="str">
        <f aca="false">IF(A464="","",IF(N(G464)-N(L464)-N(N464)&lt;0,"Check shares",IF(AND(P464&lt;&gt;"",Q464&lt;&gt;""),"Closed","Open")))</f>
        <v/>
      </c>
      <c r="V464" s="19" t="str">
        <f aca="false">IF(OR(F464="",P464=""),"",NETWORKDAYS(F464,P464,Lists!$F$5:$F$40)-1)</f>
        <v/>
      </c>
      <c r="W464" s="18" t="str">
        <f aca="false">IF(V464="","",IF(V464=0,"Same day","Overnight"))</f>
        <v/>
      </c>
      <c r="X464" s="18" t="str">
        <f aca="false">IF(OR(E464="",F464=""),"",IF(AND(E464&gt;=F464,OR(P464="",E464&lt;=P464)),"Yes","No"))</f>
        <v/>
      </c>
      <c r="Y464" s="20" t="str">
        <f aca="false">IF(A464="","",N(G464)-N(L464)-N(N464))</f>
        <v/>
      </c>
      <c r="Z464" s="21" t="str">
        <f aca="false">IF(OR(G464="",H464="",I464=""),"",ABS(H464-I464)*G464)</f>
        <v/>
      </c>
      <c r="AA464" s="22" t="str">
        <f aca="false">IF(OR(J464="",N(Z464)=0),"",ABS(J464-H464)/ABS(H464-I464))</f>
        <v/>
      </c>
      <c r="AB464" s="23" t="str">
        <f aca="false">IF(U464&lt;&gt;"Closed","",(N(L464)*N(M464)+N(N464)*N(O464)+Y464*Q464)/G464)</f>
        <v/>
      </c>
      <c r="AC464" s="24" t="str">
        <f aca="false">IF(U464&lt;&gt;"Closed","",IF($B464="Short",-1,1)*((N(M464)-H464)*N(L464)+(N(O464)-H464)*N(N464)+(Q464-H464)*Y464)-N(R464))</f>
        <v/>
      </c>
      <c r="AD464" s="25" t="str">
        <f aca="false">IF(OR(AC464="",N(Z464)=0),"",AC464/Z464)</f>
        <v/>
      </c>
      <c r="AE464" s="25" t="str">
        <f aca="false">IF(OR(S464="",N(Z464)=0),"",IF($B464="Short",-1,1)*(S464-H464)*G464/Z464)</f>
        <v/>
      </c>
      <c r="AF464" s="25" t="str">
        <f aca="false">IF(OR(T464="",N(Z464)=0),"",IF($B464="Short",-1,1)*(T464-H464)*G464/Z464)</f>
        <v/>
      </c>
      <c r="AG464" s="21" t="str">
        <f aca="false">IF(U464&lt;&gt;"Open","",Y464*MAX(0,IF($B464="Short",-1,1)*(H464-IF(K464="",I464,K464))))</f>
        <v/>
      </c>
      <c r="AH464" s="26" t="str">
        <f aca="false">IF(U464&lt;&gt;"Closed","",DATE(YEAR(P464),MONTH(P464),1))</f>
        <v/>
      </c>
      <c r="AI464" s="19" t="str">
        <f aca="false">IF(U464&lt;&gt;"Closed","",COUNTIFS($U$7:$U$506,"Closed",$P$7:$P$506,"&lt;"&amp;P464)+COUNTIFS($U$7:U464,"Closed",$P$7:P464,P464))</f>
        <v/>
      </c>
    </row>
    <row r="465" customFormat="false" ht="15" hidden="false" customHeight="false" outlineLevel="0" collapsed="false">
      <c r="A465" s="13"/>
      <c r="B465" s="14"/>
      <c r="C465" s="14"/>
      <c r="D465" s="14"/>
      <c r="E465" s="15"/>
      <c r="F465" s="15"/>
      <c r="G465" s="16"/>
      <c r="H465" s="17"/>
      <c r="I465" s="17"/>
      <c r="J465" s="17"/>
      <c r="K465" s="17"/>
      <c r="L465" s="16"/>
      <c r="M465" s="17"/>
      <c r="N465" s="16"/>
      <c r="O465" s="17"/>
      <c r="P465" s="15"/>
      <c r="Q465" s="17"/>
      <c r="R465" s="17"/>
      <c r="S465" s="17"/>
      <c r="T465" s="17"/>
      <c r="U465" s="18" t="str">
        <f aca="false">IF(A465="","",IF(N(G465)-N(L465)-N(N465)&lt;0,"Check shares",IF(AND(P465&lt;&gt;"",Q465&lt;&gt;""),"Closed","Open")))</f>
        <v/>
      </c>
      <c r="V465" s="19" t="str">
        <f aca="false">IF(OR(F465="",P465=""),"",NETWORKDAYS(F465,P465,Lists!$F$5:$F$40)-1)</f>
        <v/>
      </c>
      <c r="W465" s="18" t="str">
        <f aca="false">IF(V465="","",IF(V465=0,"Same day","Overnight"))</f>
        <v/>
      </c>
      <c r="X465" s="18" t="str">
        <f aca="false">IF(OR(E465="",F465=""),"",IF(AND(E465&gt;=F465,OR(P465="",E465&lt;=P465)),"Yes","No"))</f>
        <v/>
      </c>
      <c r="Y465" s="20" t="str">
        <f aca="false">IF(A465="","",N(G465)-N(L465)-N(N465))</f>
        <v/>
      </c>
      <c r="Z465" s="21" t="str">
        <f aca="false">IF(OR(G465="",H465="",I465=""),"",ABS(H465-I465)*G465)</f>
        <v/>
      </c>
      <c r="AA465" s="22" t="str">
        <f aca="false">IF(OR(J465="",N(Z465)=0),"",ABS(J465-H465)/ABS(H465-I465))</f>
        <v/>
      </c>
      <c r="AB465" s="23" t="str">
        <f aca="false">IF(U465&lt;&gt;"Closed","",(N(L465)*N(M465)+N(N465)*N(O465)+Y465*Q465)/G465)</f>
        <v/>
      </c>
      <c r="AC465" s="24" t="str">
        <f aca="false">IF(U465&lt;&gt;"Closed","",IF($B465="Short",-1,1)*((N(M465)-H465)*N(L465)+(N(O465)-H465)*N(N465)+(Q465-H465)*Y465)-N(R465))</f>
        <v/>
      </c>
      <c r="AD465" s="25" t="str">
        <f aca="false">IF(OR(AC465="",N(Z465)=0),"",AC465/Z465)</f>
        <v/>
      </c>
      <c r="AE465" s="25" t="str">
        <f aca="false">IF(OR(S465="",N(Z465)=0),"",IF($B465="Short",-1,1)*(S465-H465)*G465/Z465)</f>
        <v/>
      </c>
      <c r="AF465" s="25" t="str">
        <f aca="false">IF(OR(T465="",N(Z465)=0),"",IF($B465="Short",-1,1)*(T465-H465)*G465/Z465)</f>
        <v/>
      </c>
      <c r="AG465" s="21" t="str">
        <f aca="false">IF(U465&lt;&gt;"Open","",Y465*MAX(0,IF($B465="Short",-1,1)*(H465-IF(K465="",I465,K465))))</f>
        <v/>
      </c>
      <c r="AH465" s="26" t="str">
        <f aca="false">IF(U465&lt;&gt;"Closed","",DATE(YEAR(P465),MONTH(P465),1))</f>
        <v/>
      </c>
      <c r="AI465" s="19" t="str">
        <f aca="false">IF(U465&lt;&gt;"Closed","",COUNTIFS($U$7:$U$506,"Closed",$P$7:$P$506,"&lt;"&amp;P465)+COUNTIFS($U$7:U465,"Closed",$P$7:P465,P465))</f>
        <v/>
      </c>
    </row>
    <row r="466" customFormat="false" ht="15" hidden="false" customHeight="false" outlineLevel="0" collapsed="false">
      <c r="A466" s="13"/>
      <c r="B466" s="14"/>
      <c r="C466" s="14"/>
      <c r="D466" s="14"/>
      <c r="E466" s="15"/>
      <c r="F466" s="15"/>
      <c r="G466" s="16"/>
      <c r="H466" s="17"/>
      <c r="I466" s="17"/>
      <c r="J466" s="17"/>
      <c r="K466" s="17"/>
      <c r="L466" s="16"/>
      <c r="M466" s="17"/>
      <c r="N466" s="16"/>
      <c r="O466" s="17"/>
      <c r="P466" s="15"/>
      <c r="Q466" s="17"/>
      <c r="R466" s="17"/>
      <c r="S466" s="17"/>
      <c r="T466" s="17"/>
      <c r="U466" s="18" t="str">
        <f aca="false">IF(A466="","",IF(N(G466)-N(L466)-N(N466)&lt;0,"Check shares",IF(AND(P466&lt;&gt;"",Q466&lt;&gt;""),"Closed","Open")))</f>
        <v/>
      </c>
      <c r="V466" s="19" t="str">
        <f aca="false">IF(OR(F466="",P466=""),"",NETWORKDAYS(F466,P466,Lists!$F$5:$F$40)-1)</f>
        <v/>
      </c>
      <c r="W466" s="18" t="str">
        <f aca="false">IF(V466="","",IF(V466=0,"Same day","Overnight"))</f>
        <v/>
      </c>
      <c r="X466" s="18" t="str">
        <f aca="false">IF(OR(E466="",F466=""),"",IF(AND(E466&gt;=F466,OR(P466="",E466&lt;=P466)),"Yes","No"))</f>
        <v/>
      </c>
      <c r="Y466" s="20" t="str">
        <f aca="false">IF(A466="","",N(G466)-N(L466)-N(N466))</f>
        <v/>
      </c>
      <c r="Z466" s="21" t="str">
        <f aca="false">IF(OR(G466="",H466="",I466=""),"",ABS(H466-I466)*G466)</f>
        <v/>
      </c>
      <c r="AA466" s="22" t="str">
        <f aca="false">IF(OR(J466="",N(Z466)=0),"",ABS(J466-H466)/ABS(H466-I466))</f>
        <v/>
      </c>
      <c r="AB466" s="23" t="str">
        <f aca="false">IF(U466&lt;&gt;"Closed","",(N(L466)*N(M466)+N(N466)*N(O466)+Y466*Q466)/G466)</f>
        <v/>
      </c>
      <c r="AC466" s="24" t="str">
        <f aca="false">IF(U466&lt;&gt;"Closed","",IF($B466="Short",-1,1)*((N(M466)-H466)*N(L466)+(N(O466)-H466)*N(N466)+(Q466-H466)*Y466)-N(R466))</f>
        <v/>
      </c>
      <c r="AD466" s="25" t="str">
        <f aca="false">IF(OR(AC466="",N(Z466)=0),"",AC466/Z466)</f>
        <v/>
      </c>
      <c r="AE466" s="25" t="str">
        <f aca="false">IF(OR(S466="",N(Z466)=0),"",IF($B466="Short",-1,1)*(S466-H466)*G466/Z466)</f>
        <v/>
      </c>
      <c r="AF466" s="25" t="str">
        <f aca="false">IF(OR(T466="",N(Z466)=0),"",IF($B466="Short",-1,1)*(T466-H466)*G466/Z466)</f>
        <v/>
      </c>
      <c r="AG466" s="21" t="str">
        <f aca="false">IF(U466&lt;&gt;"Open","",Y466*MAX(0,IF($B466="Short",-1,1)*(H466-IF(K466="",I466,K466))))</f>
        <v/>
      </c>
      <c r="AH466" s="26" t="str">
        <f aca="false">IF(U466&lt;&gt;"Closed","",DATE(YEAR(P466),MONTH(P466),1))</f>
        <v/>
      </c>
      <c r="AI466" s="19" t="str">
        <f aca="false">IF(U466&lt;&gt;"Closed","",COUNTIFS($U$7:$U$506,"Closed",$P$7:$P$506,"&lt;"&amp;P466)+COUNTIFS($U$7:U466,"Closed",$P$7:P466,P466))</f>
        <v/>
      </c>
    </row>
    <row r="467" customFormat="false" ht="15" hidden="false" customHeight="false" outlineLevel="0" collapsed="false">
      <c r="A467" s="13"/>
      <c r="B467" s="14"/>
      <c r="C467" s="14"/>
      <c r="D467" s="14"/>
      <c r="E467" s="15"/>
      <c r="F467" s="15"/>
      <c r="G467" s="16"/>
      <c r="H467" s="17"/>
      <c r="I467" s="17"/>
      <c r="J467" s="17"/>
      <c r="K467" s="17"/>
      <c r="L467" s="16"/>
      <c r="M467" s="17"/>
      <c r="N467" s="16"/>
      <c r="O467" s="17"/>
      <c r="P467" s="15"/>
      <c r="Q467" s="17"/>
      <c r="R467" s="17"/>
      <c r="S467" s="17"/>
      <c r="T467" s="17"/>
      <c r="U467" s="18" t="str">
        <f aca="false">IF(A467="","",IF(N(G467)-N(L467)-N(N467)&lt;0,"Check shares",IF(AND(P467&lt;&gt;"",Q467&lt;&gt;""),"Closed","Open")))</f>
        <v/>
      </c>
      <c r="V467" s="19" t="str">
        <f aca="false">IF(OR(F467="",P467=""),"",NETWORKDAYS(F467,P467,Lists!$F$5:$F$40)-1)</f>
        <v/>
      </c>
      <c r="W467" s="18" t="str">
        <f aca="false">IF(V467="","",IF(V467=0,"Same day","Overnight"))</f>
        <v/>
      </c>
      <c r="X467" s="18" t="str">
        <f aca="false">IF(OR(E467="",F467=""),"",IF(AND(E467&gt;=F467,OR(P467="",E467&lt;=P467)),"Yes","No"))</f>
        <v/>
      </c>
      <c r="Y467" s="20" t="str">
        <f aca="false">IF(A467="","",N(G467)-N(L467)-N(N467))</f>
        <v/>
      </c>
      <c r="Z467" s="21" t="str">
        <f aca="false">IF(OR(G467="",H467="",I467=""),"",ABS(H467-I467)*G467)</f>
        <v/>
      </c>
      <c r="AA467" s="22" t="str">
        <f aca="false">IF(OR(J467="",N(Z467)=0),"",ABS(J467-H467)/ABS(H467-I467))</f>
        <v/>
      </c>
      <c r="AB467" s="23" t="str">
        <f aca="false">IF(U467&lt;&gt;"Closed","",(N(L467)*N(M467)+N(N467)*N(O467)+Y467*Q467)/G467)</f>
        <v/>
      </c>
      <c r="AC467" s="24" t="str">
        <f aca="false">IF(U467&lt;&gt;"Closed","",IF($B467="Short",-1,1)*((N(M467)-H467)*N(L467)+(N(O467)-H467)*N(N467)+(Q467-H467)*Y467)-N(R467))</f>
        <v/>
      </c>
      <c r="AD467" s="25" t="str">
        <f aca="false">IF(OR(AC467="",N(Z467)=0),"",AC467/Z467)</f>
        <v/>
      </c>
      <c r="AE467" s="25" t="str">
        <f aca="false">IF(OR(S467="",N(Z467)=0),"",IF($B467="Short",-1,1)*(S467-H467)*G467/Z467)</f>
        <v/>
      </c>
      <c r="AF467" s="25" t="str">
        <f aca="false">IF(OR(T467="",N(Z467)=0),"",IF($B467="Short",-1,1)*(T467-H467)*G467/Z467)</f>
        <v/>
      </c>
      <c r="AG467" s="21" t="str">
        <f aca="false">IF(U467&lt;&gt;"Open","",Y467*MAX(0,IF($B467="Short",-1,1)*(H467-IF(K467="",I467,K467))))</f>
        <v/>
      </c>
      <c r="AH467" s="26" t="str">
        <f aca="false">IF(U467&lt;&gt;"Closed","",DATE(YEAR(P467),MONTH(P467),1))</f>
        <v/>
      </c>
      <c r="AI467" s="19" t="str">
        <f aca="false">IF(U467&lt;&gt;"Closed","",COUNTIFS($U$7:$U$506,"Closed",$P$7:$P$506,"&lt;"&amp;P467)+COUNTIFS($U$7:U467,"Closed",$P$7:P467,P467))</f>
        <v/>
      </c>
    </row>
    <row r="468" customFormat="false" ht="15" hidden="false" customHeight="false" outlineLevel="0" collapsed="false">
      <c r="A468" s="13"/>
      <c r="B468" s="14"/>
      <c r="C468" s="14"/>
      <c r="D468" s="14"/>
      <c r="E468" s="15"/>
      <c r="F468" s="15"/>
      <c r="G468" s="16"/>
      <c r="H468" s="17"/>
      <c r="I468" s="17"/>
      <c r="J468" s="17"/>
      <c r="K468" s="17"/>
      <c r="L468" s="16"/>
      <c r="M468" s="17"/>
      <c r="N468" s="16"/>
      <c r="O468" s="17"/>
      <c r="P468" s="15"/>
      <c r="Q468" s="17"/>
      <c r="R468" s="17"/>
      <c r="S468" s="17"/>
      <c r="T468" s="17"/>
      <c r="U468" s="18" t="str">
        <f aca="false">IF(A468="","",IF(N(G468)-N(L468)-N(N468)&lt;0,"Check shares",IF(AND(P468&lt;&gt;"",Q468&lt;&gt;""),"Closed","Open")))</f>
        <v/>
      </c>
      <c r="V468" s="19" t="str">
        <f aca="false">IF(OR(F468="",P468=""),"",NETWORKDAYS(F468,P468,Lists!$F$5:$F$40)-1)</f>
        <v/>
      </c>
      <c r="W468" s="18" t="str">
        <f aca="false">IF(V468="","",IF(V468=0,"Same day","Overnight"))</f>
        <v/>
      </c>
      <c r="X468" s="18" t="str">
        <f aca="false">IF(OR(E468="",F468=""),"",IF(AND(E468&gt;=F468,OR(P468="",E468&lt;=P468)),"Yes","No"))</f>
        <v/>
      </c>
      <c r="Y468" s="20" t="str">
        <f aca="false">IF(A468="","",N(G468)-N(L468)-N(N468))</f>
        <v/>
      </c>
      <c r="Z468" s="21" t="str">
        <f aca="false">IF(OR(G468="",H468="",I468=""),"",ABS(H468-I468)*G468)</f>
        <v/>
      </c>
      <c r="AA468" s="22" t="str">
        <f aca="false">IF(OR(J468="",N(Z468)=0),"",ABS(J468-H468)/ABS(H468-I468))</f>
        <v/>
      </c>
      <c r="AB468" s="23" t="str">
        <f aca="false">IF(U468&lt;&gt;"Closed","",(N(L468)*N(M468)+N(N468)*N(O468)+Y468*Q468)/G468)</f>
        <v/>
      </c>
      <c r="AC468" s="24" t="str">
        <f aca="false">IF(U468&lt;&gt;"Closed","",IF($B468="Short",-1,1)*((N(M468)-H468)*N(L468)+(N(O468)-H468)*N(N468)+(Q468-H468)*Y468)-N(R468))</f>
        <v/>
      </c>
      <c r="AD468" s="25" t="str">
        <f aca="false">IF(OR(AC468="",N(Z468)=0),"",AC468/Z468)</f>
        <v/>
      </c>
      <c r="AE468" s="25" t="str">
        <f aca="false">IF(OR(S468="",N(Z468)=0),"",IF($B468="Short",-1,1)*(S468-H468)*G468/Z468)</f>
        <v/>
      </c>
      <c r="AF468" s="25" t="str">
        <f aca="false">IF(OR(T468="",N(Z468)=0),"",IF($B468="Short",-1,1)*(T468-H468)*G468/Z468)</f>
        <v/>
      </c>
      <c r="AG468" s="21" t="str">
        <f aca="false">IF(U468&lt;&gt;"Open","",Y468*MAX(0,IF($B468="Short",-1,1)*(H468-IF(K468="",I468,K468))))</f>
        <v/>
      </c>
      <c r="AH468" s="26" t="str">
        <f aca="false">IF(U468&lt;&gt;"Closed","",DATE(YEAR(P468),MONTH(P468),1))</f>
        <v/>
      </c>
      <c r="AI468" s="19" t="str">
        <f aca="false">IF(U468&lt;&gt;"Closed","",COUNTIFS($U$7:$U$506,"Closed",$P$7:$P$506,"&lt;"&amp;P468)+COUNTIFS($U$7:U468,"Closed",$P$7:P468,P468))</f>
        <v/>
      </c>
    </row>
    <row r="469" customFormat="false" ht="15" hidden="false" customHeight="false" outlineLevel="0" collapsed="false">
      <c r="A469" s="13"/>
      <c r="B469" s="14"/>
      <c r="C469" s="14"/>
      <c r="D469" s="14"/>
      <c r="E469" s="15"/>
      <c r="F469" s="15"/>
      <c r="G469" s="16"/>
      <c r="H469" s="17"/>
      <c r="I469" s="17"/>
      <c r="J469" s="17"/>
      <c r="K469" s="17"/>
      <c r="L469" s="16"/>
      <c r="M469" s="17"/>
      <c r="N469" s="16"/>
      <c r="O469" s="17"/>
      <c r="P469" s="15"/>
      <c r="Q469" s="17"/>
      <c r="R469" s="17"/>
      <c r="S469" s="17"/>
      <c r="T469" s="17"/>
      <c r="U469" s="18" t="str">
        <f aca="false">IF(A469="","",IF(N(G469)-N(L469)-N(N469)&lt;0,"Check shares",IF(AND(P469&lt;&gt;"",Q469&lt;&gt;""),"Closed","Open")))</f>
        <v/>
      </c>
      <c r="V469" s="19" t="str">
        <f aca="false">IF(OR(F469="",P469=""),"",NETWORKDAYS(F469,P469,Lists!$F$5:$F$40)-1)</f>
        <v/>
      </c>
      <c r="W469" s="18" t="str">
        <f aca="false">IF(V469="","",IF(V469=0,"Same day","Overnight"))</f>
        <v/>
      </c>
      <c r="X469" s="18" t="str">
        <f aca="false">IF(OR(E469="",F469=""),"",IF(AND(E469&gt;=F469,OR(P469="",E469&lt;=P469)),"Yes","No"))</f>
        <v/>
      </c>
      <c r="Y469" s="20" t="str">
        <f aca="false">IF(A469="","",N(G469)-N(L469)-N(N469))</f>
        <v/>
      </c>
      <c r="Z469" s="21" t="str">
        <f aca="false">IF(OR(G469="",H469="",I469=""),"",ABS(H469-I469)*G469)</f>
        <v/>
      </c>
      <c r="AA469" s="22" t="str">
        <f aca="false">IF(OR(J469="",N(Z469)=0),"",ABS(J469-H469)/ABS(H469-I469))</f>
        <v/>
      </c>
      <c r="AB469" s="23" t="str">
        <f aca="false">IF(U469&lt;&gt;"Closed","",(N(L469)*N(M469)+N(N469)*N(O469)+Y469*Q469)/G469)</f>
        <v/>
      </c>
      <c r="AC469" s="24" t="str">
        <f aca="false">IF(U469&lt;&gt;"Closed","",IF($B469="Short",-1,1)*((N(M469)-H469)*N(L469)+(N(O469)-H469)*N(N469)+(Q469-H469)*Y469)-N(R469))</f>
        <v/>
      </c>
      <c r="AD469" s="25" t="str">
        <f aca="false">IF(OR(AC469="",N(Z469)=0),"",AC469/Z469)</f>
        <v/>
      </c>
      <c r="AE469" s="25" t="str">
        <f aca="false">IF(OR(S469="",N(Z469)=0),"",IF($B469="Short",-1,1)*(S469-H469)*G469/Z469)</f>
        <v/>
      </c>
      <c r="AF469" s="25" t="str">
        <f aca="false">IF(OR(T469="",N(Z469)=0),"",IF($B469="Short",-1,1)*(T469-H469)*G469/Z469)</f>
        <v/>
      </c>
      <c r="AG469" s="21" t="str">
        <f aca="false">IF(U469&lt;&gt;"Open","",Y469*MAX(0,IF($B469="Short",-1,1)*(H469-IF(K469="",I469,K469))))</f>
        <v/>
      </c>
      <c r="AH469" s="26" t="str">
        <f aca="false">IF(U469&lt;&gt;"Closed","",DATE(YEAR(P469),MONTH(P469),1))</f>
        <v/>
      </c>
      <c r="AI469" s="19" t="str">
        <f aca="false">IF(U469&lt;&gt;"Closed","",COUNTIFS($U$7:$U$506,"Closed",$P$7:$P$506,"&lt;"&amp;P469)+COUNTIFS($U$7:U469,"Closed",$P$7:P469,P469))</f>
        <v/>
      </c>
    </row>
    <row r="470" customFormat="false" ht="15" hidden="false" customHeight="false" outlineLevel="0" collapsed="false">
      <c r="A470" s="13"/>
      <c r="B470" s="14"/>
      <c r="C470" s="14"/>
      <c r="D470" s="14"/>
      <c r="E470" s="15"/>
      <c r="F470" s="15"/>
      <c r="G470" s="16"/>
      <c r="H470" s="17"/>
      <c r="I470" s="17"/>
      <c r="J470" s="17"/>
      <c r="K470" s="17"/>
      <c r="L470" s="16"/>
      <c r="M470" s="17"/>
      <c r="N470" s="16"/>
      <c r="O470" s="17"/>
      <c r="P470" s="15"/>
      <c r="Q470" s="17"/>
      <c r="R470" s="17"/>
      <c r="S470" s="17"/>
      <c r="T470" s="17"/>
      <c r="U470" s="18" t="str">
        <f aca="false">IF(A470="","",IF(N(G470)-N(L470)-N(N470)&lt;0,"Check shares",IF(AND(P470&lt;&gt;"",Q470&lt;&gt;""),"Closed","Open")))</f>
        <v/>
      </c>
      <c r="V470" s="19" t="str">
        <f aca="false">IF(OR(F470="",P470=""),"",NETWORKDAYS(F470,P470,Lists!$F$5:$F$40)-1)</f>
        <v/>
      </c>
      <c r="W470" s="18" t="str">
        <f aca="false">IF(V470="","",IF(V470=0,"Same day","Overnight"))</f>
        <v/>
      </c>
      <c r="X470" s="18" t="str">
        <f aca="false">IF(OR(E470="",F470=""),"",IF(AND(E470&gt;=F470,OR(P470="",E470&lt;=P470)),"Yes","No"))</f>
        <v/>
      </c>
      <c r="Y470" s="20" t="str">
        <f aca="false">IF(A470="","",N(G470)-N(L470)-N(N470))</f>
        <v/>
      </c>
      <c r="Z470" s="21" t="str">
        <f aca="false">IF(OR(G470="",H470="",I470=""),"",ABS(H470-I470)*G470)</f>
        <v/>
      </c>
      <c r="AA470" s="22" t="str">
        <f aca="false">IF(OR(J470="",N(Z470)=0),"",ABS(J470-H470)/ABS(H470-I470))</f>
        <v/>
      </c>
      <c r="AB470" s="23" t="str">
        <f aca="false">IF(U470&lt;&gt;"Closed","",(N(L470)*N(M470)+N(N470)*N(O470)+Y470*Q470)/G470)</f>
        <v/>
      </c>
      <c r="AC470" s="24" t="str">
        <f aca="false">IF(U470&lt;&gt;"Closed","",IF($B470="Short",-1,1)*((N(M470)-H470)*N(L470)+(N(O470)-H470)*N(N470)+(Q470-H470)*Y470)-N(R470))</f>
        <v/>
      </c>
      <c r="AD470" s="25" t="str">
        <f aca="false">IF(OR(AC470="",N(Z470)=0),"",AC470/Z470)</f>
        <v/>
      </c>
      <c r="AE470" s="25" t="str">
        <f aca="false">IF(OR(S470="",N(Z470)=0),"",IF($B470="Short",-1,1)*(S470-H470)*G470/Z470)</f>
        <v/>
      </c>
      <c r="AF470" s="25" t="str">
        <f aca="false">IF(OR(T470="",N(Z470)=0),"",IF($B470="Short",-1,1)*(T470-H470)*G470/Z470)</f>
        <v/>
      </c>
      <c r="AG470" s="21" t="str">
        <f aca="false">IF(U470&lt;&gt;"Open","",Y470*MAX(0,IF($B470="Short",-1,1)*(H470-IF(K470="",I470,K470))))</f>
        <v/>
      </c>
      <c r="AH470" s="26" t="str">
        <f aca="false">IF(U470&lt;&gt;"Closed","",DATE(YEAR(P470),MONTH(P470),1))</f>
        <v/>
      </c>
      <c r="AI470" s="19" t="str">
        <f aca="false">IF(U470&lt;&gt;"Closed","",COUNTIFS($U$7:$U$506,"Closed",$P$7:$P$506,"&lt;"&amp;P470)+COUNTIFS($U$7:U470,"Closed",$P$7:P470,P470))</f>
        <v/>
      </c>
    </row>
    <row r="471" customFormat="false" ht="15" hidden="false" customHeight="false" outlineLevel="0" collapsed="false">
      <c r="A471" s="13"/>
      <c r="B471" s="14"/>
      <c r="C471" s="14"/>
      <c r="D471" s="14"/>
      <c r="E471" s="15"/>
      <c r="F471" s="15"/>
      <c r="G471" s="16"/>
      <c r="H471" s="17"/>
      <c r="I471" s="17"/>
      <c r="J471" s="17"/>
      <c r="K471" s="17"/>
      <c r="L471" s="16"/>
      <c r="M471" s="17"/>
      <c r="N471" s="16"/>
      <c r="O471" s="17"/>
      <c r="P471" s="15"/>
      <c r="Q471" s="17"/>
      <c r="R471" s="17"/>
      <c r="S471" s="17"/>
      <c r="T471" s="17"/>
      <c r="U471" s="18" t="str">
        <f aca="false">IF(A471="","",IF(N(G471)-N(L471)-N(N471)&lt;0,"Check shares",IF(AND(P471&lt;&gt;"",Q471&lt;&gt;""),"Closed","Open")))</f>
        <v/>
      </c>
      <c r="V471" s="19" t="str">
        <f aca="false">IF(OR(F471="",P471=""),"",NETWORKDAYS(F471,P471,Lists!$F$5:$F$40)-1)</f>
        <v/>
      </c>
      <c r="W471" s="18" t="str">
        <f aca="false">IF(V471="","",IF(V471=0,"Same day","Overnight"))</f>
        <v/>
      </c>
      <c r="X471" s="18" t="str">
        <f aca="false">IF(OR(E471="",F471=""),"",IF(AND(E471&gt;=F471,OR(P471="",E471&lt;=P471)),"Yes","No"))</f>
        <v/>
      </c>
      <c r="Y471" s="20" t="str">
        <f aca="false">IF(A471="","",N(G471)-N(L471)-N(N471))</f>
        <v/>
      </c>
      <c r="Z471" s="21" t="str">
        <f aca="false">IF(OR(G471="",H471="",I471=""),"",ABS(H471-I471)*G471)</f>
        <v/>
      </c>
      <c r="AA471" s="22" t="str">
        <f aca="false">IF(OR(J471="",N(Z471)=0),"",ABS(J471-H471)/ABS(H471-I471))</f>
        <v/>
      </c>
      <c r="AB471" s="23" t="str">
        <f aca="false">IF(U471&lt;&gt;"Closed","",(N(L471)*N(M471)+N(N471)*N(O471)+Y471*Q471)/G471)</f>
        <v/>
      </c>
      <c r="AC471" s="24" t="str">
        <f aca="false">IF(U471&lt;&gt;"Closed","",IF($B471="Short",-1,1)*((N(M471)-H471)*N(L471)+(N(O471)-H471)*N(N471)+(Q471-H471)*Y471)-N(R471))</f>
        <v/>
      </c>
      <c r="AD471" s="25" t="str">
        <f aca="false">IF(OR(AC471="",N(Z471)=0),"",AC471/Z471)</f>
        <v/>
      </c>
      <c r="AE471" s="25" t="str">
        <f aca="false">IF(OR(S471="",N(Z471)=0),"",IF($B471="Short",-1,1)*(S471-H471)*G471/Z471)</f>
        <v/>
      </c>
      <c r="AF471" s="25" t="str">
        <f aca="false">IF(OR(T471="",N(Z471)=0),"",IF($B471="Short",-1,1)*(T471-H471)*G471/Z471)</f>
        <v/>
      </c>
      <c r="AG471" s="21" t="str">
        <f aca="false">IF(U471&lt;&gt;"Open","",Y471*MAX(0,IF($B471="Short",-1,1)*(H471-IF(K471="",I471,K471))))</f>
        <v/>
      </c>
      <c r="AH471" s="26" t="str">
        <f aca="false">IF(U471&lt;&gt;"Closed","",DATE(YEAR(P471),MONTH(P471),1))</f>
        <v/>
      </c>
      <c r="AI471" s="19" t="str">
        <f aca="false">IF(U471&lt;&gt;"Closed","",COUNTIFS($U$7:$U$506,"Closed",$P$7:$P$506,"&lt;"&amp;P471)+COUNTIFS($U$7:U471,"Closed",$P$7:P471,P471))</f>
        <v/>
      </c>
    </row>
    <row r="472" customFormat="false" ht="15" hidden="false" customHeight="false" outlineLevel="0" collapsed="false">
      <c r="A472" s="13"/>
      <c r="B472" s="14"/>
      <c r="C472" s="14"/>
      <c r="D472" s="14"/>
      <c r="E472" s="15"/>
      <c r="F472" s="15"/>
      <c r="G472" s="16"/>
      <c r="H472" s="17"/>
      <c r="I472" s="17"/>
      <c r="J472" s="17"/>
      <c r="K472" s="17"/>
      <c r="L472" s="16"/>
      <c r="M472" s="17"/>
      <c r="N472" s="16"/>
      <c r="O472" s="17"/>
      <c r="P472" s="15"/>
      <c r="Q472" s="17"/>
      <c r="R472" s="17"/>
      <c r="S472" s="17"/>
      <c r="T472" s="17"/>
      <c r="U472" s="18" t="str">
        <f aca="false">IF(A472="","",IF(N(G472)-N(L472)-N(N472)&lt;0,"Check shares",IF(AND(P472&lt;&gt;"",Q472&lt;&gt;""),"Closed","Open")))</f>
        <v/>
      </c>
      <c r="V472" s="19" t="str">
        <f aca="false">IF(OR(F472="",P472=""),"",NETWORKDAYS(F472,P472,Lists!$F$5:$F$40)-1)</f>
        <v/>
      </c>
      <c r="W472" s="18" t="str">
        <f aca="false">IF(V472="","",IF(V472=0,"Same day","Overnight"))</f>
        <v/>
      </c>
      <c r="X472" s="18" t="str">
        <f aca="false">IF(OR(E472="",F472=""),"",IF(AND(E472&gt;=F472,OR(P472="",E472&lt;=P472)),"Yes","No"))</f>
        <v/>
      </c>
      <c r="Y472" s="20" t="str">
        <f aca="false">IF(A472="","",N(G472)-N(L472)-N(N472))</f>
        <v/>
      </c>
      <c r="Z472" s="21" t="str">
        <f aca="false">IF(OR(G472="",H472="",I472=""),"",ABS(H472-I472)*G472)</f>
        <v/>
      </c>
      <c r="AA472" s="22" t="str">
        <f aca="false">IF(OR(J472="",N(Z472)=0),"",ABS(J472-H472)/ABS(H472-I472))</f>
        <v/>
      </c>
      <c r="AB472" s="23" t="str">
        <f aca="false">IF(U472&lt;&gt;"Closed","",(N(L472)*N(M472)+N(N472)*N(O472)+Y472*Q472)/G472)</f>
        <v/>
      </c>
      <c r="AC472" s="24" t="str">
        <f aca="false">IF(U472&lt;&gt;"Closed","",IF($B472="Short",-1,1)*((N(M472)-H472)*N(L472)+(N(O472)-H472)*N(N472)+(Q472-H472)*Y472)-N(R472))</f>
        <v/>
      </c>
      <c r="AD472" s="25" t="str">
        <f aca="false">IF(OR(AC472="",N(Z472)=0),"",AC472/Z472)</f>
        <v/>
      </c>
      <c r="AE472" s="25" t="str">
        <f aca="false">IF(OR(S472="",N(Z472)=0),"",IF($B472="Short",-1,1)*(S472-H472)*G472/Z472)</f>
        <v/>
      </c>
      <c r="AF472" s="25" t="str">
        <f aca="false">IF(OR(T472="",N(Z472)=0),"",IF($B472="Short",-1,1)*(T472-H472)*G472/Z472)</f>
        <v/>
      </c>
      <c r="AG472" s="21" t="str">
        <f aca="false">IF(U472&lt;&gt;"Open","",Y472*MAX(0,IF($B472="Short",-1,1)*(H472-IF(K472="",I472,K472))))</f>
        <v/>
      </c>
      <c r="AH472" s="26" t="str">
        <f aca="false">IF(U472&lt;&gt;"Closed","",DATE(YEAR(P472),MONTH(P472),1))</f>
        <v/>
      </c>
      <c r="AI472" s="19" t="str">
        <f aca="false">IF(U472&lt;&gt;"Closed","",COUNTIFS($U$7:$U$506,"Closed",$P$7:$P$506,"&lt;"&amp;P472)+COUNTIFS($U$7:U472,"Closed",$P$7:P472,P472))</f>
        <v/>
      </c>
    </row>
    <row r="473" customFormat="false" ht="15" hidden="false" customHeight="false" outlineLevel="0" collapsed="false">
      <c r="A473" s="13"/>
      <c r="B473" s="14"/>
      <c r="C473" s="14"/>
      <c r="D473" s="14"/>
      <c r="E473" s="15"/>
      <c r="F473" s="15"/>
      <c r="G473" s="16"/>
      <c r="H473" s="17"/>
      <c r="I473" s="17"/>
      <c r="J473" s="17"/>
      <c r="K473" s="17"/>
      <c r="L473" s="16"/>
      <c r="M473" s="17"/>
      <c r="N473" s="16"/>
      <c r="O473" s="17"/>
      <c r="P473" s="15"/>
      <c r="Q473" s="17"/>
      <c r="R473" s="17"/>
      <c r="S473" s="17"/>
      <c r="T473" s="17"/>
      <c r="U473" s="18" t="str">
        <f aca="false">IF(A473="","",IF(N(G473)-N(L473)-N(N473)&lt;0,"Check shares",IF(AND(P473&lt;&gt;"",Q473&lt;&gt;""),"Closed","Open")))</f>
        <v/>
      </c>
      <c r="V473" s="19" t="str">
        <f aca="false">IF(OR(F473="",P473=""),"",NETWORKDAYS(F473,P473,Lists!$F$5:$F$40)-1)</f>
        <v/>
      </c>
      <c r="W473" s="18" t="str">
        <f aca="false">IF(V473="","",IF(V473=0,"Same day","Overnight"))</f>
        <v/>
      </c>
      <c r="X473" s="18" t="str">
        <f aca="false">IF(OR(E473="",F473=""),"",IF(AND(E473&gt;=F473,OR(P473="",E473&lt;=P473)),"Yes","No"))</f>
        <v/>
      </c>
      <c r="Y473" s="20" t="str">
        <f aca="false">IF(A473="","",N(G473)-N(L473)-N(N473))</f>
        <v/>
      </c>
      <c r="Z473" s="21" t="str">
        <f aca="false">IF(OR(G473="",H473="",I473=""),"",ABS(H473-I473)*G473)</f>
        <v/>
      </c>
      <c r="AA473" s="22" t="str">
        <f aca="false">IF(OR(J473="",N(Z473)=0),"",ABS(J473-H473)/ABS(H473-I473))</f>
        <v/>
      </c>
      <c r="AB473" s="23" t="str">
        <f aca="false">IF(U473&lt;&gt;"Closed","",(N(L473)*N(M473)+N(N473)*N(O473)+Y473*Q473)/G473)</f>
        <v/>
      </c>
      <c r="AC473" s="24" t="str">
        <f aca="false">IF(U473&lt;&gt;"Closed","",IF($B473="Short",-1,1)*((N(M473)-H473)*N(L473)+(N(O473)-H473)*N(N473)+(Q473-H473)*Y473)-N(R473))</f>
        <v/>
      </c>
      <c r="AD473" s="25" t="str">
        <f aca="false">IF(OR(AC473="",N(Z473)=0),"",AC473/Z473)</f>
        <v/>
      </c>
      <c r="AE473" s="25" t="str">
        <f aca="false">IF(OR(S473="",N(Z473)=0),"",IF($B473="Short",-1,1)*(S473-H473)*G473/Z473)</f>
        <v/>
      </c>
      <c r="AF473" s="25" t="str">
        <f aca="false">IF(OR(T473="",N(Z473)=0),"",IF($B473="Short",-1,1)*(T473-H473)*G473/Z473)</f>
        <v/>
      </c>
      <c r="AG473" s="21" t="str">
        <f aca="false">IF(U473&lt;&gt;"Open","",Y473*MAX(0,IF($B473="Short",-1,1)*(H473-IF(K473="",I473,K473))))</f>
        <v/>
      </c>
      <c r="AH473" s="26" t="str">
        <f aca="false">IF(U473&lt;&gt;"Closed","",DATE(YEAR(P473),MONTH(P473),1))</f>
        <v/>
      </c>
      <c r="AI473" s="19" t="str">
        <f aca="false">IF(U473&lt;&gt;"Closed","",COUNTIFS($U$7:$U$506,"Closed",$P$7:$P$506,"&lt;"&amp;P473)+COUNTIFS($U$7:U473,"Closed",$P$7:P473,P473))</f>
        <v/>
      </c>
    </row>
    <row r="474" customFormat="false" ht="15" hidden="false" customHeight="false" outlineLevel="0" collapsed="false">
      <c r="A474" s="13"/>
      <c r="B474" s="14"/>
      <c r="C474" s="14"/>
      <c r="D474" s="14"/>
      <c r="E474" s="15"/>
      <c r="F474" s="15"/>
      <c r="G474" s="16"/>
      <c r="H474" s="17"/>
      <c r="I474" s="17"/>
      <c r="J474" s="17"/>
      <c r="K474" s="17"/>
      <c r="L474" s="16"/>
      <c r="M474" s="17"/>
      <c r="N474" s="16"/>
      <c r="O474" s="17"/>
      <c r="P474" s="15"/>
      <c r="Q474" s="17"/>
      <c r="R474" s="17"/>
      <c r="S474" s="17"/>
      <c r="T474" s="17"/>
      <c r="U474" s="18" t="str">
        <f aca="false">IF(A474="","",IF(N(G474)-N(L474)-N(N474)&lt;0,"Check shares",IF(AND(P474&lt;&gt;"",Q474&lt;&gt;""),"Closed","Open")))</f>
        <v/>
      </c>
      <c r="V474" s="19" t="str">
        <f aca="false">IF(OR(F474="",P474=""),"",NETWORKDAYS(F474,P474,Lists!$F$5:$F$40)-1)</f>
        <v/>
      </c>
      <c r="W474" s="18" t="str">
        <f aca="false">IF(V474="","",IF(V474=0,"Same day","Overnight"))</f>
        <v/>
      </c>
      <c r="X474" s="18" t="str">
        <f aca="false">IF(OR(E474="",F474=""),"",IF(AND(E474&gt;=F474,OR(P474="",E474&lt;=P474)),"Yes","No"))</f>
        <v/>
      </c>
      <c r="Y474" s="20" t="str">
        <f aca="false">IF(A474="","",N(G474)-N(L474)-N(N474))</f>
        <v/>
      </c>
      <c r="Z474" s="21" t="str">
        <f aca="false">IF(OR(G474="",H474="",I474=""),"",ABS(H474-I474)*G474)</f>
        <v/>
      </c>
      <c r="AA474" s="22" t="str">
        <f aca="false">IF(OR(J474="",N(Z474)=0),"",ABS(J474-H474)/ABS(H474-I474))</f>
        <v/>
      </c>
      <c r="AB474" s="23" t="str">
        <f aca="false">IF(U474&lt;&gt;"Closed","",(N(L474)*N(M474)+N(N474)*N(O474)+Y474*Q474)/G474)</f>
        <v/>
      </c>
      <c r="AC474" s="24" t="str">
        <f aca="false">IF(U474&lt;&gt;"Closed","",IF($B474="Short",-1,1)*((N(M474)-H474)*N(L474)+(N(O474)-H474)*N(N474)+(Q474-H474)*Y474)-N(R474))</f>
        <v/>
      </c>
      <c r="AD474" s="25" t="str">
        <f aca="false">IF(OR(AC474="",N(Z474)=0),"",AC474/Z474)</f>
        <v/>
      </c>
      <c r="AE474" s="25" t="str">
        <f aca="false">IF(OR(S474="",N(Z474)=0),"",IF($B474="Short",-1,1)*(S474-H474)*G474/Z474)</f>
        <v/>
      </c>
      <c r="AF474" s="25" t="str">
        <f aca="false">IF(OR(T474="",N(Z474)=0),"",IF($B474="Short",-1,1)*(T474-H474)*G474/Z474)</f>
        <v/>
      </c>
      <c r="AG474" s="21" t="str">
        <f aca="false">IF(U474&lt;&gt;"Open","",Y474*MAX(0,IF($B474="Short",-1,1)*(H474-IF(K474="",I474,K474))))</f>
        <v/>
      </c>
      <c r="AH474" s="26" t="str">
        <f aca="false">IF(U474&lt;&gt;"Closed","",DATE(YEAR(P474),MONTH(P474),1))</f>
        <v/>
      </c>
      <c r="AI474" s="19" t="str">
        <f aca="false">IF(U474&lt;&gt;"Closed","",COUNTIFS($U$7:$U$506,"Closed",$P$7:$P$506,"&lt;"&amp;P474)+COUNTIFS($U$7:U474,"Closed",$P$7:P474,P474))</f>
        <v/>
      </c>
    </row>
    <row r="475" customFormat="false" ht="15" hidden="false" customHeight="false" outlineLevel="0" collapsed="false">
      <c r="A475" s="13"/>
      <c r="B475" s="14"/>
      <c r="C475" s="14"/>
      <c r="D475" s="14"/>
      <c r="E475" s="15"/>
      <c r="F475" s="15"/>
      <c r="G475" s="16"/>
      <c r="H475" s="17"/>
      <c r="I475" s="17"/>
      <c r="J475" s="17"/>
      <c r="K475" s="17"/>
      <c r="L475" s="16"/>
      <c r="M475" s="17"/>
      <c r="N475" s="16"/>
      <c r="O475" s="17"/>
      <c r="P475" s="15"/>
      <c r="Q475" s="17"/>
      <c r="R475" s="17"/>
      <c r="S475" s="17"/>
      <c r="T475" s="17"/>
      <c r="U475" s="18" t="str">
        <f aca="false">IF(A475="","",IF(N(G475)-N(L475)-N(N475)&lt;0,"Check shares",IF(AND(P475&lt;&gt;"",Q475&lt;&gt;""),"Closed","Open")))</f>
        <v/>
      </c>
      <c r="V475" s="19" t="str">
        <f aca="false">IF(OR(F475="",P475=""),"",NETWORKDAYS(F475,P475,Lists!$F$5:$F$40)-1)</f>
        <v/>
      </c>
      <c r="W475" s="18" t="str">
        <f aca="false">IF(V475="","",IF(V475=0,"Same day","Overnight"))</f>
        <v/>
      </c>
      <c r="X475" s="18" t="str">
        <f aca="false">IF(OR(E475="",F475=""),"",IF(AND(E475&gt;=F475,OR(P475="",E475&lt;=P475)),"Yes","No"))</f>
        <v/>
      </c>
      <c r="Y475" s="20" t="str">
        <f aca="false">IF(A475="","",N(G475)-N(L475)-N(N475))</f>
        <v/>
      </c>
      <c r="Z475" s="21" t="str">
        <f aca="false">IF(OR(G475="",H475="",I475=""),"",ABS(H475-I475)*G475)</f>
        <v/>
      </c>
      <c r="AA475" s="22" t="str">
        <f aca="false">IF(OR(J475="",N(Z475)=0),"",ABS(J475-H475)/ABS(H475-I475))</f>
        <v/>
      </c>
      <c r="AB475" s="23" t="str">
        <f aca="false">IF(U475&lt;&gt;"Closed","",(N(L475)*N(M475)+N(N475)*N(O475)+Y475*Q475)/G475)</f>
        <v/>
      </c>
      <c r="AC475" s="24" t="str">
        <f aca="false">IF(U475&lt;&gt;"Closed","",IF($B475="Short",-1,1)*((N(M475)-H475)*N(L475)+(N(O475)-H475)*N(N475)+(Q475-H475)*Y475)-N(R475))</f>
        <v/>
      </c>
      <c r="AD475" s="25" t="str">
        <f aca="false">IF(OR(AC475="",N(Z475)=0),"",AC475/Z475)</f>
        <v/>
      </c>
      <c r="AE475" s="25" t="str">
        <f aca="false">IF(OR(S475="",N(Z475)=0),"",IF($B475="Short",-1,1)*(S475-H475)*G475/Z475)</f>
        <v/>
      </c>
      <c r="AF475" s="25" t="str">
        <f aca="false">IF(OR(T475="",N(Z475)=0),"",IF($B475="Short",-1,1)*(T475-H475)*G475/Z475)</f>
        <v/>
      </c>
      <c r="AG475" s="21" t="str">
        <f aca="false">IF(U475&lt;&gt;"Open","",Y475*MAX(0,IF($B475="Short",-1,1)*(H475-IF(K475="",I475,K475))))</f>
        <v/>
      </c>
      <c r="AH475" s="26" t="str">
        <f aca="false">IF(U475&lt;&gt;"Closed","",DATE(YEAR(P475),MONTH(P475),1))</f>
        <v/>
      </c>
      <c r="AI475" s="19" t="str">
        <f aca="false">IF(U475&lt;&gt;"Closed","",COUNTIFS($U$7:$U$506,"Closed",$P$7:$P$506,"&lt;"&amp;P475)+COUNTIFS($U$7:U475,"Closed",$P$7:P475,P475))</f>
        <v/>
      </c>
    </row>
    <row r="476" customFormat="false" ht="15" hidden="false" customHeight="false" outlineLevel="0" collapsed="false">
      <c r="A476" s="13"/>
      <c r="B476" s="14"/>
      <c r="C476" s="14"/>
      <c r="D476" s="14"/>
      <c r="E476" s="15"/>
      <c r="F476" s="15"/>
      <c r="G476" s="16"/>
      <c r="H476" s="17"/>
      <c r="I476" s="17"/>
      <c r="J476" s="17"/>
      <c r="K476" s="17"/>
      <c r="L476" s="16"/>
      <c r="M476" s="17"/>
      <c r="N476" s="16"/>
      <c r="O476" s="17"/>
      <c r="P476" s="15"/>
      <c r="Q476" s="17"/>
      <c r="R476" s="17"/>
      <c r="S476" s="17"/>
      <c r="T476" s="17"/>
      <c r="U476" s="18" t="str">
        <f aca="false">IF(A476="","",IF(N(G476)-N(L476)-N(N476)&lt;0,"Check shares",IF(AND(P476&lt;&gt;"",Q476&lt;&gt;""),"Closed","Open")))</f>
        <v/>
      </c>
      <c r="V476" s="19" t="str">
        <f aca="false">IF(OR(F476="",P476=""),"",NETWORKDAYS(F476,P476,Lists!$F$5:$F$40)-1)</f>
        <v/>
      </c>
      <c r="W476" s="18" t="str">
        <f aca="false">IF(V476="","",IF(V476=0,"Same day","Overnight"))</f>
        <v/>
      </c>
      <c r="X476" s="18" t="str">
        <f aca="false">IF(OR(E476="",F476=""),"",IF(AND(E476&gt;=F476,OR(P476="",E476&lt;=P476)),"Yes","No"))</f>
        <v/>
      </c>
      <c r="Y476" s="20" t="str">
        <f aca="false">IF(A476="","",N(G476)-N(L476)-N(N476))</f>
        <v/>
      </c>
      <c r="Z476" s="21" t="str">
        <f aca="false">IF(OR(G476="",H476="",I476=""),"",ABS(H476-I476)*G476)</f>
        <v/>
      </c>
      <c r="AA476" s="22" t="str">
        <f aca="false">IF(OR(J476="",N(Z476)=0),"",ABS(J476-H476)/ABS(H476-I476))</f>
        <v/>
      </c>
      <c r="AB476" s="23" t="str">
        <f aca="false">IF(U476&lt;&gt;"Closed","",(N(L476)*N(M476)+N(N476)*N(O476)+Y476*Q476)/G476)</f>
        <v/>
      </c>
      <c r="AC476" s="24" t="str">
        <f aca="false">IF(U476&lt;&gt;"Closed","",IF($B476="Short",-1,1)*((N(M476)-H476)*N(L476)+(N(O476)-H476)*N(N476)+(Q476-H476)*Y476)-N(R476))</f>
        <v/>
      </c>
      <c r="AD476" s="25" t="str">
        <f aca="false">IF(OR(AC476="",N(Z476)=0),"",AC476/Z476)</f>
        <v/>
      </c>
      <c r="AE476" s="25" t="str">
        <f aca="false">IF(OR(S476="",N(Z476)=0),"",IF($B476="Short",-1,1)*(S476-H476)*G476/Z476)</f>
        <v/>
      </c>
      <c r="AF476" s="25" t="str">
        <f aca="false">IF(OR(T476="",N(Z476)=0),"",IF($B476="Short",-1,1)*(T476-H476)*G476/Z476)</f>
        <v/>
      </c>
      <c r="AG476" s="21" t="str">
        <f aca="false">IF(U476&lt;&gt;"Open","",Y476*MAX(0,IF($B476="Short",-1,1)*(H476-IF(K476="",I476,K476))))</f>
        <v/>
      </c>
      <c r="AH476" s="26" t="str">
        <f aca="false">IF(U476&lt;&gt;"Closed","",DATE(YEAR(P476),MONTH(P476),1))</f>
        <v/>
      </c>
      <c r="AI476" s="19" t="str">
        <f aca="false">IF(U476&lt;&gt;"Closed","",COUNTIFS($U$7:$U$506,"Closed",$P$7:$P$506,"&lt;"&amp;P476)+COUNTIFS($U$7:U476,"Closed",$P$7:P476,P476))</f>
        <v/>
      </c>
    </row>
    <row r="477" customFormat="false" ht="15" hidden="false" customHeight="false" outlineLevel="0" collapsed="false">
      <c r="A477" s="13"/>
      <c r="B477" s="14"/>
      <c r="C477" s="14"/>
      <c r="D477" s="14"/>
      <c r="E477" s="15"/>
      <c r="F477" s="15"/>
      <c r="G477" s="16"/>
      <c r="H477" s="17"/>
      <c r="I477" s="17"/>
      <c r="J477" s="17"/>
      <c r="K477" s="17"/>
      <c r="L477" s="16"/>
      <c r="M477" s="17"/>
      <c r="N477" s="16"/>
      <c r="O477" s="17"/>
      <c r="P477" s="15"/>
      <c r="Q477" s="17"/>
      <c r="R477" s="17"/>
      <c r="S477" s="17"/>
      <c r="T477" s="17"/>
      <c r="U477" s="18" t="str">
        <f aca="false">IF(A477="","",IF(N(G477)-N(L477)-N(N477)&lt;0,"Check shares",IF(AND(P477&lt;&gt;"",Q477&lt;&gt;""),"Closed","Open")))</f>
        <v/>
      </c>
      <c r="V477" s="19" t="str">
        <f aca="false">IF(OR(F477="",P477=""),"",NETWORKDAYS(F477,P477,Lists!$F$5:$F$40)-1)</f>
        <v/>
      </c>
      <c r="W477" s="18" t="str">
        <f aca="false">IF(V477="","",IF(V477=0,"Same day","Overnight"))</f>
        <v/>
      </c>
      <c r="X477" s="18" t="str">
        <f aca="false">IF(OR(E477="",F477=""),"",IF(AND(E477&gt;=F477,OR(P477="",E477&lt;=P477)),"Yes","No"))</f>
        <v/>
      </c>
      <c r="Y477" s="20" t="str">
        <f aca="false">IF(A477="","",N(G477)-N(L477)-N(N477))</f>
        <v/>
      </c>
      <c r="Z477" s="21" t="str">
        <f aca="false">IF(OR(G477="",H477="",I477=""),"",ABS(H477-I477)*G477)</f>
        <v/>
      </c>
      <c r="AA477" s="22" t="str">
        <f aca="false">IF(OR(J477="",N(Z477)=0),"",ABS(J477-H477)/ABS(H477-I477))</f>
        <v/>
      </c>
      <c r="AB477" s="23" t="str">
        <f aca="false">IF(U477&lt;&gt;"Closed","",(N(L477)*N(M477)+N(N477)*N(O477)+Y477*Q477)/G477)</f>
        <v/>
      </c>
      <c r="AC477" s="24" t="str">
        <f aca="false">IF(U477&lt;&gt;"Closed","",IF($B477="Short",-1,1)*((N(M477)-H477)*N(L477)+(N(O477)-H477)*N(N477)+(Q477-H477)*Y477)-N(R477))</f>
        <v/>
      </c>
      <c r="AD477" s="25" t="str">
        <f aca="false">IF(OR(AC477="",N(Z477)=0),"",AC477/Z477)</f>
        <v/>
      </c>
      <c r="AE477" s="25" t="str">
        <f aca="false">IF(OR(S477="",N(Z477)=0),"",IF($B477="Short",-1,1)*(S477-H477)*G477/Z477)</f>
        <v/>
      </c>
      <c r="AF477" s="25" t="str">
        <f aca="false">IF(OR(T477="",N(Z477)=0),"",IF($B477="Short",-1,1)*(T477-H477)*G477/Z477)</f>
        <v/>
      </c>
      <c r="AG477" s="21" t="str">
        <f aca="false">IF(U477&lt;&gt;"Open","",Y477*MAX(0,IF($B477="Short",-1,1)*(H477-IF(K477="",I477,K477))))</f>
        <v/>
      </c>
      <c r="AH477" s="26" t="str">
        <f aca="false">IF(U477&lt;&gt;"Closed","",DATE(YEAR(P477),MONTH(P477),1))</f>
        <v/>
      </c>
      <c r="AI477" s="19" t="str">
        <f aca="false">IF(U477&lt;&gt;"Closed","",COUNTIFS($U$7:$U$506,"Closed",$P$7:$P$506,"&lt;"&amp;P477)+COUNTIFS($U$7:U477,"Closed",$P$7:P477,P477))</f>
        <v/>
      </c>
    </row>
    <row r="478" customFormat="false" ht="15" hidden="false" customHeight="false" outlineLevel="0" collapsed="false">
      <c r="A478" s="13"/>
      <c r="B478" s="14"/>
      <c r="C478" s="14"/>
      <c r="D478" s="14"/>
      <c r="E478" s="15"/>
      <c r="F478" s="15"/>
      <c r="G478" s="16"/>
      <c r="H478" s="17"/>
      <c r="I478" s="17"/>
      <c r="J478" s="17"/>
      <c r="K478" s="17"/>
      <c r="L478" s="16"/>
      <c r="M478" s="17"/>
      <c r="N478" s="16"/>
      <c r="O478" s="17"/>
      <c r="P478" s="15"/>
      <c r="Q478" s="17"/>
      <c r="R478" s="17"/>
      <c r="S478" s="17"/>
      <c r="T478" s="17"/>
      <c r="U478" s="18" t="str">
        <f aca="false">IF(A478="","",IF(N(G478)-N(L478)-N(N478)&lt;0,"Check shares",IF(AND(P478&lt;&gt;"",Q478&lt;&gt;""),"Closed","Open")))</f>
        <v/>
      </c>
      <c r="V478" s="19" t="str">
        <f aca="false">IF(OR(F478="",P478=""),"",NETWORKDAYS(F478,P478,Lists!$F$5:$F$40)-1)</f>
        <v/>
      </c>
      <c r="W478" s="18" t="str">
        <f aca="false">IF(V478="","",IF(V478=0,"Same day","Overnight"))</f>
        <v/>
      </c>
      <c r="X478" s="18" t="str">
        <f aca="false">IF(OR(E478="",F478=""),"",IF(AND(E478&gt;=F478,OR(P478="",E478&lt;=P478)),"Yes","No"))</f>
        <v/>
      </c>
      <c r="Y478" s="20" t="str">
        <f aca="false">IF(A478="","",N(G478)-N(L478)-N(N478))</f>
        <v/>
      </c>
      <c r="Z478" s="21" t="str">
        <f aca="false">IF(OR(G478="",H478="",I478=""),"",ABS(H478-I478)*G478)</f>
        <v/>
      </c>
      <c r="AA478" s="22" t="str">
        <f aca="false">IF(OR(J478="",N(Z478)=0),"",ABS(J478-H478)/ABS(H478-I478))</f>
        <v/>
      </c>
      <c r="AB478" s="23" t="str">
        <f aca="false">IF(U478&lt;&gt;"Closed","",(N(L478)*N(M478)+N(N478)*N(O478)+Y478*Q478)/G478)</f>
        <v/>
      </c>
      <c r="AC478" s="24" t="str">
        <f aca="false">IF(U478&lt;&gt;"Closed","",IF($B478="Short",-1,1)*((N(M478)-H478)*N(L478)+(N(O478)-H478)*N(N478)+(Q478-H478)*Y478)-N(R478))</f>
        <v/>
      </c>
      <c r="AD478" s="25" t="str">
        <f aca="false">IF(OR(AC478="",N(Z478)=0),"",AC478/Z478)</f>
        <v/>
      </c>
      <c r="AE478" s="25" t="str">
        <f aca="false">IF(OR(S478="",N(Z478)=0),"",IF($B478="Short",-1,1)*(S478-H478)*G478/Z478)</f>
        <v/>
      </c>
      <c r="AF478" s="25" t="str">
        <f aca="false">IF(OR(T478="",N(Z478)=0),"",IF($B478="Short",-1,1)*(T478-H478)*G478/Z478)</f>
        <v/>
      </c>
      <c r="AG478" s="21" t="str">
        <f aca="false">IF(U478&lt;&gt;"Open","",Y478*MAX(0,IF($B478="Short",-1,1)*(H478-IF(K478="",I478,K478))))</f>
        <v/>
      </c>
      <c r="AH478" s="26" t="str">
        <f aca="false">IF(U478&lt;&gt;"Closed","",DATE(YEAR(P478),MONTH(P478),1))</f>
        <v/>
      </c>
      <c r="AI478" s="19" t="str">
        <f aca="false">IF(U478&lt;&gt;"Closed","",COUNTIFS($U$7:$U$506,"Closed",$P$7:$P$506,"&lt;"&amp;P478)+COUNTIFS($U$7:U478,"Closed",$P$7:P478,P478))</f>
        <v/>
      </c>
    </row>
    <row r="479" customFormat="false" ht="15" hidden="false" customHeight="false" outlineLevel="0" collapsed="false">
      <c r="A479" s="13"/>
      <c r="B479" s="14"/>
      <c r="C479" s="14"/>
      <c r="D479" s="14"/>
      <c r="E479" s="15"/>
      <c r="F479" s="15"/>
      <c r="G479" s="16"/>
      <c r="H479" s="17"/>
      <c r="I479" s="17"/>
      <c r="J479" s="17"/>
      <c r="K479" s="17"/>
      <c r="L479" s="16"/>
      <c r="M479" s="17"/>
      <c r="N479" s="16"/>
      <c r="O479" s="17"/>
      <c r="P479" s="15"/>
      <c r="Q479" s="17"/>
      <c r="R479" s="17"/>
      <c r="S479" s="17"/>
      <c r="T479" s="17"/>
      <c r="U479" s="18" t="str">
        <f aca="false">IF(A479="","",IF(N(G479)-N(L479)-N(N479)&lt;0,"Check shares",IF(AND(P479&lt;&gt;"",Q479&lt;&gt;""),"Closed","Open")))</f>
        <v/>
      </c>
      <c r="V479" s="19" t="str">
        <f aca="false">IF(OR(F479="",P479=""),"",NETWORKDAYS(F479,P479,Lists!$F$5:$F$40)-1)</f>
        <v/>
      </c>
      <c r="W479" s="18" t="str">
        <f aca="false">IF(V479="","",IF(V479=0,"Same day","Overnight"))</f>
        <v/>
      </c>
      <c r="X479" s="18" t="str">
        <f aca="false">IF(OR(E479="",F479=""),"",IF(AND(E479&gt;=F479,OR(P479="",E479&lt;=P479)),"Yes","No"))</f>
        <v/>
      </c>
      <c r="Y479" s="20" t="str">
        <f aca="false">IF(A479="","",N(G479)-N(L479)-N(N479))</f>
        <v/>
      </c>
      <c r="Z479" s="21" t="str">
        <f aca="false">IF(OR(G479="",H479="",I479=""),"",ABS(H479-I479)*G479)</f>
        <v/>
      </c>
      <c r="AA479" s="22" t="str">
        <f aca="false">IF(OR(J479="",N(Z479)=0),"",ABS(J479-H479)/ABS(H479-I479))</f>
        <v/>
      </c>
      <c r="AB479" s="23" t="str">
        <f aca="false">IF(U479&lt;&gt;"Closed","",(N(L479)*N(M479)+N(N479)*N(O479)+Y479*Q479)/G479)</f>
        <v/>
      </c>
      <c r="AC479" s="24" t="str">
        <f aca="false">IF(U479&lt;&gt;"Closed","",IF($B479="Short",-1,1)*((N(M479)-H479)*N(L479)+(N(O479)-H479)*N(N479)+(Q479-H479)*Y479)-N(R479))</f>
        <v/>
      </c>
      <c r="AD479" s="25" t="str">
        <f aca="false">IF(OR(AC479="",N(Z479)=0),"",AC479/Z479)</f>
        <v/>
      </c>
      <c r="AE479" s="25" t="str">
        <f aca="false">IF(OR(S479="",N(Z479)=0),"",IF($B479="Short",-1,1)*(S479-H479)*G479/Z479)</f>
        <v/>
      </c>
      <c r="AF479" s="25" t="str">
        <f aca="false">IF(OR(T479="",N(Z479)=0),"",IF($B479="Short",-1,1)*(T479-H479)*G479/Z479)</f>
        <v/>
      </c>
      <c r="AG479" s="21" t="str">
        <f aca="false">IF(U479&lt;&gt;"Open","",Y479*MAX(0,IF($B479="Short",-1,1)*(H479-IF(K479="",I479,K479))))</f>
        <v/>
      </c>
      <c r="AH479" s="26" t="str">
        <f aca="false">IF(U479&lt;&gt;"Closed","",DATE(YEAR(P479),MONTH(P479),1))</f>
        <v/>
      </c>
      <c r="AI479" s="19" t="str">
        <f aca="false">IF(U479&lt;&gt;"Closed","",COUNTIFS($U$7:$U$506,"Closed",$P$7:$P$506,"&lt;"&amp;P479)+COUNTIFS($U$7:U479,"Closed",$P$7:P479,P479))</f>
        <v/>
      </c>
    </row>
    <row r="480" customFormat="false" ht="15" hidden="false" customHeight="false" outlineLevel="0" collapsed="false">
      <c r="A480" s="13"/>
      <c r="B480" s="14"/>
      <c r="C480" s="14"/>
      <c r="D480" s="14"/>
      <c r="E480" s="15"/>
      <c r="F480" s="15"/>
      <c r="G480" s="16"/>
      <c r="H480" s="17"/>
      <c r="I480" s="17"/>
      <c r="J480" s="17"/>
      <c r="K480" s="17"/>
      <c r="L480" s="16"/>
      <c r="M480" s="17"/>
      <c r="N480" s="16"/>
      <c r="O480" s="17"/>
      <c r="P480" s="15"/>
      <c r="Q480" s="17"/>
      <c r="R480" s="17"/>
      <c r="S480" s="17"/>
      <c r="T480" s="17"/>
      <c r="U480" s="18" t="str">
        <f aca="false">IF(A480="","",IF(N(G480)-N(L480)-N(N480)&lt;0,"Check shares",IF(AND(P480&lt;&gt;"",Q480&lt;&gt;""),"Closed","Open")))</f>
        <v/>
      </c>
      <c r="V480" s="19" t="str">
        <f aca="false">IF(OR(F480="",P480=""),"",NETWORKDAYS(F480,P480,Lists!$F$5:$F$40)-1)</f>
        <v/>
      </c>
      <c r="W480" s="18" t="str">
        <f aca="false">IF(V480="","",IF(V480=0,"Same day","Overnight"))</f>
        <v/>
      </c>
      <c r="X480" s="18" t="str">
        <f aca="false">IF(OR(E480="",F480=""),"",IF(AND(E480&gt;=F480,OR(P480="",E480&lt;=P480)),"Yes","No"))</f>
        <v/>
      </c>
      <c r="Y480" s="20" t="str">
        <f aca="false">IF(A480="","",N(G480)-N(L480)-N(N480))</f>
        <v/>
      </c>
      <c r="Z480" s="21" t="str">
        <f aca="false">IF(OR(G480="",H480="",I480=""),"",ABS(H480-I480)*G480)</f>
        <v/>
      </c>
      <c r="AA480" s="22" t="str">
        <f aca="false">IF(OR(J480="",N(Z480)=0),"",ABS(J480-H480)/ABS(H480-I480))</f>
        <v/>
      </c>
      <c r="AB480" s="23" t="str">
        <f aca="false">IF(U480&lt;&gt;"Closed","",(N(L480)*N(M480)+N(N480)*N(O480)+Y480*Q480)/G480)</f>
        <v/>
      </c>
      <c r="AC480" s="24" t="str">
        <f aca="false">IF(U480&lt;&gt;"Closed","",IF($B480="Short",-1,1)*((N(M480)-H480)*N(L480)+(N(O480)-H480)*N(N480)+(Q480-H480)*Y480)-N(R480))</f>
        <v/>
      </c>
      <c r="AD480" s="25" t="str">
        <f aca="false">IF(OR(AC480="",N(Z480)=0),"",AC480/Z480)</f>
        <v/>
      </c>
      <c r="AE480" s="25" t="str">
        <f aca="false">IF(OR(S480="",N(Z480)=0),"",IF($B480="Short",-1,1)*(S480-H480)*G480/Z480)</f>
        <v/>
      </c>
      <c r="AF480" s="25" t="str">
        <f aca="false">IF(OR(T480="",N(Z480)=0),"",IF($B480="Short",-1,1)*(T480-H480)*G480/Z480)</f>
        <v/>
      </c>
      <c r="AG480" s="21" t="str">
        <f aca="false">IF(U480&lt;&gt;"Open","",Y480*MAX(0,IF($B480="Short",-1,1)*(H480-IF(K480="",I480,K480))))</f>
        <v/>
      </c>
      <c r="AH480" s="26" t="str">
        <f aca="false">IF(U480&lt;&gt;"Closed","",DATE(YEAR(P480),MONTH(P480),1))</f>
        <v/>
      </c>
      <c r="AI480" s="19" t="str">
        <f aca="false">IF(U480&lt;&gt;"Closed","",COUNTIFS($U$7:$U$506,"Closed",$P$7:$P$506,"&lt;"&amp;P480)+COUNTIFS($U$7:U480,"Closed",$P$7:P480,P480))</f>
        <v/>
      </c>
    </row>
    <row r="481" customFormat="false" ht="15" hidden="false" customHeight="false" outlineLevel="0" collapsed="false">
      <c r="A481" s="13"/>
      <c r="B481" s="14"/>
      <c r="C481" s="14"/>
      <c r="D481" s="14"/>
      <c r="E481" s="15"/>
      <c r="F481" s="15"/>
      <c r="G481" s="16"/>
      <c r="H481" s="17"/>
      <c r="I481" s="17"/>
      <c r="J481" s="17"/>
      <c r="K481" s="17"/>
      <c r="L481" s="16"/>
      <c r="M481" s="17"/>
      <c r="N481" s="16"/>
      <c r="O481" s="17"/>
      <c r="P481" s="15"/>
      <c r="Q481" s="17"/>
      <c r="R481" s="17"/>
      <c r="S481" s="17"/>
      <c r="T481" s="17"/>
      <c r="U481" s="18" t="str">
        <f aca="false">IF(A481="","",IF(N(G481)-N(L481)-N(N481)&lt;0,"Check shares",IF(AND(P481&lt;&gt;"",Q481&lt;&gt;""),"Closed","Open")))</f>
        <v/>
      </c>
      <c r="V481" s="19" t="str">
        <f aca="false">IF(OR(F481="",P481=""),"",NETWORKDAYS(F481,P481,Lists!$F$5:$F$40)-1)</f>
        <v/>
      </c>
      <c r="W481" s="18" t="str">
        <f aca="false">IF(V481="","",IF(V481=0,"Same day","Overnight"))</f>
        <v/>
      </c>
      <c r="X481" s="18" t="str">
        <f aca="false">IF(OR(E481="",F481=""),"",IF(AND(E481&gt;=F481,OR(P481="",E481&lt;=P481)),"Yes","No"))</f>
        <v/>
      </c>
      <c r="Y481" s="20" t="str">
        <f aca="false">IF(A481="","",N(G481)-N(L481)-N(N481))</f>
        <v/>
      </c>
      <c r="Z481" s="21" t="str">
        <f aca="false">IF(OR(G481="",H481="",I481=""),"",ABS(H481-I481)*G481)</f>
        <v/>
      </c>
      <c r="AA481" s="22" t="str">
        <f aca="false">IF(OR(J481="",N(Z481)=0),"",ABS(J481-H481)/ABS(H481-I481))</f>
        <v/>
      </c>
      <c r="AB481" s="23" t="str">
        <f aca="false">IF(U481&lt;&gt;"Closed","",(N(L481)*N(M481)+N(N481)*N(O481)+Y481*Q481)/G481)</f>
        <v/>
      </c>
      <c r="AC481" s="24" t="str">
        <f aca="false">IF(U481&lt;&gt;"Closed","",IF($B481="Short",-1,1)*((N(M481)-H481)*N(L481)+(N(O481)-H481)*N(N481)+(Q481-H481)*Y481)-N(R481))</f>
        <v/>
      </c>
      <c r="AD481" s="25" t="str">
        <f aca="false">IF(OR(AC481="",N(Z481)=0),"",AC481/Z481)</f>
        <v/>
      </c>
      <c r="AE481" s="25" t="str">
        <f aca="false">IF(OR(S481="",N(Z481)=0),"",IF($B481="Short",-1,1)*(S481-H481)*G481/Z481)</f>
        <v/>
      </c>
      <c r="AF481" s="25" t="str">
        <f aca="false">IF(OR(T481="",N(Z481)=0),"",IF($B481="Short",-1,1)*(T481-H481)*G481/Z481)</f>
        <v/>
      </c>
      <c r="AG481" s="21" t="str">
        <f aca="false">IF(U481&lt;&gt;"Open","",Y481*MAX(0,IF($B481="Short",-1,1)*(H481-IF(K481="",I481,K481))))</f>
        <v/>
      </c>
      <c r="AH481" s="26" t="str">
        <f aca="false">IF(U481&lt;&gt;"Closed","",DATE(YEAR(P481),MONTH(P481),1))</f>
        <v/>
      </c>
      <c r="AI481" s="19" t="str">
        <f aca="false">IF(U481&lt;&gt;"Closed","",COUNTIFS($U$7:$U$506,"Closed",$P$7:$P$506,"&lt;"&amp;P481)+COUNTIFS($U$7:U481,"Closed",$P$7:P481,P481))</f>
        <v/>
      </c>
    </row>
    <row r="482" customFormat="false" ht="15" hidden="false" customHeight="false" outlineLevel="0" collapsed="false">
      <c r="A482" s="13"/>
      <c r="B482" s="14"/>
      <c r="C482" s="14"/>
      <c r="D482" s="14"/>
      <c r="E482" s="15"/>
      <c r="F482" s="15"/>
      <c r="G482" s="16"/>
      <c r="H482" s="17"/>
      <c r="I482" s="17"/>
      <c r="J482" s="17"/>
      <c r="K482" s="17"/>
      <c r="L482" s="16"/>
      <c r="M482" s="17"/>
      <c r="N482" s="16"/>
      <c r="O482" s="17"/>
      <c r="P482" s="15"/>
      <c r="Q482" s="17"/>
      <c r="R482" s="17"/>
      <c r="S482" s="17"/>
      <c r="T482" s="17"/>
      <c r="U482" s="18" t="str">
        <f aca="false">IF(A482="","",IF(N(G482)-N(L482)-N(N482)&lt;0,"Check shares",IF(AND(P482&lt;&gt;"",Q482&lt;&gt;""),"Closed","Open")))</f>
        <v/>
      </c>
      <c r="V482" s="19" t="str">
        <f aca="false">IF(OR(F482="",P482=""),"",NETWORKDAYS(F482,P482,Lists!$F$5:$F$40)-1)</f>
        <v/>
      </c>
      <c r="W482" s="18" t="str">
        <f aca="false">IF(V482="","",IF(V482=0,"Same day","Overnight"))</f>
        <v/>
      </c>
      <c r="X482" s="18" t="str">
        <f aca="false">IF(OR(E482="",F482=""),"",IF(AND(E482&gt;=F482,OR(P482="",E482&lt;=P482)),"Yes","No"))</f>
        <v/>
      </c>
      <c r="Y482" s="20" t="str">
        <f aca="false">IF(A482="","",N(G482)-N(L482)-N(N482))</f>
        <v/>
      </c>
      <c r="Z482" s="21" t="str">
        <f aca="false">IF(OR(G482="",H482="",I482=""),"",ABS(H482-I482)*G482)</f>
        <v/>
      </c>
      <c r="AA482" s="22" t="str">
        <f aca="false">IF(OR(J482="",N(Z482)=0),"",ABS(J482-H482)/ABS(H482-I482))</f>
        <v/>
      </c>
      <c r="AB482" s="23" t="str">
        <f aca="false">IF(U482&lt;&gt;"Closed","",(N(L482)*N(M482)+N(N482)*N(O482)+Y482*Q482)/G482)</f>
        <v/>
      </c>
      <c r="AC482" s="24" t="str">
        <f aca="false">IF(U482&lt;&gt;"Closed","",IF($B482="Short",-1,1)*((N(M482)-H482)*N(L482)+(N(O482)-H482)*N(N482)+(Q482-H482)*Y482)-N(R482))</f>
        <v/>
      </c>
      <c r="AD482" s="25" t="str">
        <f aca="false">IF(OR(AC482="",N(Z482)=0),"",AC482/Z482)</f>
        <v/>
      </c>
      <c r="AE482" s="25" t="str">
        <f aca="false">IF(OR(S482="",N(Z482)=0),"",IF($B482="Short",-1,1)*(S482-H482)*G482/Z482)</f>
        <v/>
      </c>
      <c r="AF482" s="25" t="str">
        <f aca="false">IF(OR(T482="",N(Z482)=0),"",IF($B482="Short",-1,1)*(T482-H482)*G482/Z482)</f>
        <v/>
      </c>
      <c r="AG482" s="21" t="str">
        <f aca="false">IF(U482&lt;&gt;"Open","",Y482*MAX(0,IF($B482="Short",-1,1)*(H482-IF(K482="",I482,K482))))</f>
        <v/>
      </c>
      <c r="AH482" s="26" t="str">
        <f aca="false">IF(U482&lt;&gt;"Closed","",DATE(YEAR(P482),MONTH(P482),1))</f>
        <v/>
      </c>
      <c r="AI482" s="19" t="str">
        <f aca="false">IF(U482&lt;&gt;"Closed","",COUNTIFS($U$7:$U$506,"Closed",$P$7:$P$506,"&lt;"&amp;P482)+COUNTIFS($U$7:U482,"Closed",$P$7:P482,P482))</f>
        <v/>
      </c>
    </row>
    <row r="483" customFormat="false" ht="15" hidden="false" customHeight="false" outlineLevel="0" collapsed="false">
      <c r="A483" s="13"/>
      <c r="B483" s="14"/>
      <c r="C483" s="14"/>
      <c r="D483" s="14"/>
      <c r="E483" s="15"/>
      <c r="F483" s="15"/>
      <c r="G483" s="16"/>
      <c r="H483" s="17"/>
      <c r="I483" s="17"/>
      <c r="J483" s="17"/>
      <c r="K483" s="17"/>
      <c r="L483" s="16"/>
      <c r="M483" s="17"/>
      <c r="N483" s="16"/>
      <c r="O483" s="17"/>
      <c r="P483" s="15"/>
      <c r="Q483" s="17"/>
      <c r="R483" s="17"/>
      <c r="S483" s="17"/>
      <c r="T483" s="17"/>
      <c r="U483" s="18" t="str">
        <f aca="false">IF(A483="","",IF(N(G483)-N(L483)-N(N483)&lt;0,"Check shares",IF(AND(P483&lt;&gt;"",Q483&lt;&gt;""),"Closed","Open")))</f>
        <v/>
      </c>
      <c r="V483" s="19" t="str">
        <f aca="false">IF(OR(F483="",P483=""),"",NETWORKDAYS(F483,P483,Lists!$F$5:$F$40)-1)</f>
        <v/>
      </c>
      <c r="W483" s="18" t="str">
        <f aca="false">IF(V483="","",IF(V483=0,"Same day","Overnight"))</f>
        <v/>
      </c>
      <c r="X483" s="18" t="str">
        <f aca="false">IF(OR(E483="",F483=""),"",IF(AND(E483&gt;=F483,OR(P483="",E483&lt;=P483)),"Yes","No"))</f>
        <v/>
      </c>
      <c r="Y483" s="20" t="str">
        <f aca="false">IF(A483="","",N(G483)-N(L483)-N(N483))</f>
        <v/>
      </c>
      <c r="Z483" s="21" t="str">
        <f aca="false">IF(OR(G483="",H483="",I483=""),"",ABS(H483-I483)*G483)</f>
        <v/>
      </c>
      <c r="AA483" s="22" t="str">
        <f aca="false">IF(OR(J483="",N(Z483)=0),"",ABS(J483-H483)/ABS(H483-I483))</f>
        <v/>
      </c>
      <c r="AB483" s="23" t="str">
        <f aca="false">IF(U483&lt;&gt;"Closed","",(N(L483)*N(M483)+N(N483)*N(O483)+Y483*Q483)/G483)</f>
        <v/>
      </c>
      <c r="AC483" s="24" t="str">
        <f aca="false">IF(U483&lt;&gt;"Closed","",IF($B483="Short",-1,1)*((N(M483)-H483)*N(L483)+(N(O483)-H483)*N(N483)+(Q483-H483)*Y483)-N(R483))</f>
        <v/>
      </c>
      <c r="AD483" s="25" t="str">
        <f aca="false">IF(OR(AC483="",N(Z483)=0),"",AC483/Z483)</f>
        <v/>
      </c>
      <c r="AE483" s="25" t="str">
        <f aca="false">IF(OR(S483="",N(Z483)=0),"",IF($B483="Short",-1,1)*(S483-H483)*G483/Z483)</f>
        <v/>
      </c>
      <c r="AF483" s="25" t="str">
        <f aca="false">IF(OR(T483="",N(Z483)=0),"",IF($B483="Short",-1,1)*(T483-H483)*G483/Z483)</f>
        <v/>
      </c>
      <c r="AG483" s="21" t="str">
        <f aca="false">IF(U483&lt;&gt;"Open","",Y483*MAX(0,IF($B483="Short",-1,1)*(H483-IF(K483="",I483,K483))))</f>
        <v/>
      </c>
      <c r="AH483" s="26" t="str">
        <f aca="false">IF(U483&lt;&gt;"Closed","",DATE(YEAR(P483),MONTH(P483),1))</f>
        <v/>
      </c>
      <c r="AI483" s="19" t="str">
        <f aca="false">IF(U483&lt;&gt;"Closed","",COUNTIFS($U$7:$U$506,"Closed",$P$7:$P$506,"&lt;"&amp;P483)+COUNTIFS($U$7:U483,"Closed",$P$7:P483,P483))</f>
        <v/>
      </c>
    </row>
    <row r="484" customFormat="false" ht="15" hidden="false" customHeight="false" outlineLevel="0" collapsed="false">
      <c r="A484" s="13"/>
      <c r="B484" s="14"/>
      <c r="C484" s="14"/>
      <c r="D484" s="14"/>
      <c r="E484" s="15"/>
      <c r="F484" s="15"/>
      <c r="G484" s="16"/>
      <c r="H484" s="17"/>
      <c r="I484" s="17"/>
      <c r="J484" s="17"/>
      <c r="K484" s="17"/>
      <c r="L484" s="16"/>
      <c r="M484" s="17"/>
      <c r="N484" s="16"/>
      <c r="O484" s="17"/>
      <c r="P484" s="15"/>
      <c r="Q484" s="17"/>
      <c r="R484" s="17"/>
      <c r="S484" s="17"/>
      <c r="T484" s="17"/>
      <c r="U484" s="18" t="str">
        <f aca="false">IF(A484="","",IF(N(G484)-N(L484)-N(N484)&lt;0,"Check shares",IF(AND(P484&lt;&gt;"",Q484&lt;&gt;""),"Closed","Open")))</f>
        <v/>
      </c>
      <c r="V484" s="19" t="str">
        <f aca="false">IF(OR(F484="",P484=""),"",NETWORKDAYS(F484,P484,Lists!$F$5:$F$40)-1)</f>
        <v/>
      </c>
      <c r="W484" s="18" t="str">
        <f aca="false">IF(V484="","",IF(V484=0,"Same day","Overnight"))</f>
        <v/>
      </c>
      <c r="X484" s="18" t="str">
        <f aca="false">IF(OR(E484="",F484=""),"",IF(AND(E484&gt;=F484,OR(P484="",E484&lt;=P484)),"Yes","No"))</f>
        <v/>
      </c>
      <c r="Y484" s="20" t="str">
        <f aca="false">IF(A484="","",N(G484)-N(L484)-N(N484))</f>
        <v/>
      </c>
      <c r="Z484" s="21" t="str">
        <f aca="false">IF(OR(G484="",H484="",I484=""),"",ABS(H484-I484)*G484)</f>
        <v/>
      </c>
      <c r="AA484" s="22" t="str">
        <f aca="false">IF(OR(J484="",N(Z484)=0),"",ABS(J484-H484)/ABS(H484-I484))</f>
        <v/>
      </c>
      <c r="AB484" s="23" t="str">
        <f aca="false">IF(U484&lt;&gt;"Closed","",(N(L484)*N(M484)+N(N484)*N(O484)+Y484*Q484)/G484)</f>
        <v/>
      </c>
      <c r="AC484" s="24" t="str">
        <f aca="false">IF(U484&lt;&gt;"Closed","",IF($B484="Short",-1,1)*((N(M484)-H484)*N(L484)+(N(O484)-H484)*N(N484)+(Q484-H484)*Y484)-N(R484))</f>
        <v/>
      </c>
      <c r="AD484" s="25" t="str">
        <f aca="false">IF(OR(AC484="",N(Z484)=0),"",AC484/Z484)</f>
        <v/>
      </c>
      <c r="AE484" s="25" t="str">
        <f aca="false">IF(OR(S484="",N(Z484)=0),"",IF($B484="Short",-1,1)*(S484-H484)*G484/Z484)</f>
        <v/>
      </c>
      <c r="AF484" s="25" t="str">
        <f aca="false">IF(OR(T484="",N(Z484)=0),"",IF($B484="Short",-1,1)*(T484-H484)*G484/Z484)</f>
        <v/>
      </c>
      <c r="AG484" s="21" t="str">
        <f aca="false">IF(U484&lt;&gt;"Open","",Y484*MAX(0,IF($B484="Short",-1,1)*(H484-IF(K484="",I484,K484))))</f>
        <v/>
      </c>
      <c r="AH484" s="26" t="str">
        <f aca="false">IF(U484&lt;&gt;"Closed","",DATE(YEAR(P484),MONTH(P484),1))</f>
        <v/>
      </c>
      <c r="AI484" s="19" t="str">
        <f aca="false">IF(U484&lt;&gt;"Closed","",COUNTIFS($U$7:$U$506,"Closed",$P$7:$P$506,"&lt;"&amp;P484)+COUNTIFS($U$7:U484,"Closed",$P$7:P484,P484))</f>
        <v/>
      </c>
    </row>
    <row r="485" customFormat="false" ht="15" hidden="false" customHeight="false" outlineLevel="0" collapsed="false">
      <c r="A485" s="13"/>
      <c r="B485" s="14"/>
      <c r="C485" s="14"/>
      <c r="D485" s="14"/>
      <c r="E485" s="15"/>
      <c r="F485" s="15"/>
      <c r="G485" s="16"/>
      <c r="H485" s="17"/>
      <c r="I485" s="17"/>
      <c r="J485" s="17"/>
      <c r="K485" s="17"/>
      <c r="L485" s="16"/>
      <c r="M485" s="17"/>
      <c r="N485" s="16"/>
      <c r="O485" s="17"/>
      <c r="P485" s="15"/>
      <c r="Q485" s="17"/>
      <c r="R485" s="17"/>
      <c r="S485" s="17"/>
      <c r="T485" s="17"/>
      <c r="U485" s="18" t="str">
        <f aca="false">IF(A485="","",IF(N(G485)-N(L485)-N(N485)&lt;0,"Check shares",IF(AND(P485&lt;&gt;"",Q485&lt;&gt;""),"Closed","Open")))</f>
        <v/>
      </c>
      <c r="V485" s="19" t="str">
        <f aca="false">IF(OR(F485="",P485=""),"",NETWORKDAYS(F485,P485,Lists!$F$5:$F$40)-1)</f>
        <v/>
      </c>
      <c r="W485" s="18" t="str">
        <f aca="false">IF(V485="","",IF(V485=0,"Same day","Overnight"))</f>
        <v/>
      </c>
      <c r="X485" s="18" t="str">
        <f aca="false">IF(OR(E485="",F485=""),"",IF(AND(E485&gt;=F485,OR(P485="",E485&lt;=P485)),"Yes","No"))</f>
        <v/>
      </c>
      <c r="Y485" s="20" t="str">
        <f aca="false">IF(A485="","",N(G485)-N(L485)-N(N485))</f>
        <v/>
      </c>
      <c r="Z485" s="21" t="str">
        <f aca="false">IF(OR(G485="",H485="",I485=""),"",ABS(H485-I485)*G485)</f>
        <v/>
      </c>
      <c r="AA485" s="22" t="str">
        <f aca="false">IF(OR(J485="",N(Z485)=0),"",ABS(J485-H485)/ABS(H485-I485))</f>
        <v/>
      </c>
      <c r="AB485" s="23" t="str">
        <f aca="false">IF(U485&lt;&gt;"Closed","",(N(L485)*N(M485)+N(N485)*N(O485)+Y485*Q485)/G485)</f>
        <v/>
      </c>
      <c r="AC485" s="24" t="str">
        <f aca="false">IF(U485&lt;&gt;"Closed","",IF($B485="Short",-1,1)*((N(M485)-H485)*N(L485)+(N(O485)-H485)*N(N485)+(Q485-H485)*Y485)-N(R485))</f>
        <v/>
      </c>
      <c r="AD485" s="25" t="str">
        <f aca="false">IF(OR(AC485="",N(Z485)=0),"",AC485/Z485)</f>
        <v/>
      </c>
      <c r="AE485" s="25" t="str">
        <f aca="false">IF(OR(S485="",N(Z485)=0),"",IF($B485="Short",-1,1)*(S485-H485)*G485/Z485)</f>
        <v/>
      </c>
      <c r="AF485" s="25" t="str">
        <f aca="false">IF(OR(T485="",N(Z485)=0),"",IF($B485="Short",-1,1)*(T485-H485)*G485/Z485)</f>
        <v/>
      </c>
      <c r="AG485" s="21" t="str">
        <f aca="false">IF(U485&lt;&gt;"Open","",Y485*MAX(0,IF($B485="Short",-1,1)*(H485-IF(K485="",I485,K485))))</f>
        <v/>
      </c>
      <c r="AH485" s="26" t="str">
        <f aca="false">IF(U485&lt;&gt;"Closed","",DATE(YEAR(P485),MONTH(P485),1))</f>
        <v/>
      </c>
      <c r="AI485" s="19" t="str">
        <f aca="false">IF(U485&lt;&gt;"Closed","",COUNTIFS($U$7:$U$506,"Closed",$P$7:$P$506,"&lt;"&amp;P485)+COUNTIFS($U$7:U485,"Closed",$P$7:P485,P485))</f>
        <v/>
      </c>
    </row>
    <row r="486" customFormat="false" ht="15" hidden="false" customHeight="false" outlineLevel="0" collapsed="false">
      <c r="A486" s="13"/>
      <c r="B486" s="14"/>
      <c r="C486" s="14"/>
      <c r="D486" s="14"/>
      <c r="E486" s="15"/>
      <c r="F486" s="15"/>
      <c r="G486" s="16"/>
      <c r="H486" s="17"/>
      <c r="I486" s="17"/>
      <c r="J486" s="17"/>
      <c r="K486" s="17"/>
      <c r="L486" s="16"/>
      <c r="M486" s="17"/>
      <c r="N486" s="16"/>
      <c r="O486" s="17"/>
      <c r="P486" s="15"/>
      <c r="Q486" s="17"/>
      <c r="R486" s="17"/>
      <c r="S486" s="17"/>
      <c r="T486" s="17"/>
      <c r="U486" s="18" t="str">
        <f aca="false">IF(A486="","",IF(N(G486)-N(L486)-N(N486)&lt;0,"Check shares",IF(AND(P486&lt;&gt;"",Q486&lt;&gt;""),"Closed","Open")))</f>
        <v/>
      </c>
      <c r="V486" s="19" t="str">
        <f aca="false">IF(OR(F486="",P486=""),"",NETWORKDAYS(F486,P486,Lists!$F$5:$F$40)-1)</f>
        <v/>
      </c>
      <c r="W486" s="18" t="str">
        <f aca="false">IF(V486="","",IF(V486=0,"Same day","Overnight"))</f>
        <v/>
      </c>
      <c r="X486" s="18" t="str">
        <f aca="false">IF(OR(E486="",F486=""),"",IF(AND(E486&gt;=F486,OR(P486="",E486&lt;=P486)),"Yes","No"))</f>
        <v/>
      </c>
      <c r="Y486" s="20" t="str">
        <f aca="false">IF(A486="","",N(G486)-N(L486)-N(N486))</f>
        <v/>
      </c>
      <c r="Z486" s="21" t="str">
        <f aca="false">IF(OR(G486="",H486="",I486=""),"",ABS(H486-I486)*G486)</f>
        <v/>
      </c>
      <c r="AA486" s="22" t="str">
        <f aca="false">IF(OR(J486="",N(Z486)=0),"",ABS(J486-H486)/ABS(H486-I486))</f>
        <v/>
      </c>
      <c r="AB486" s="23" t="str">
        <f aca="false">IF(U486&lt;&gt;"Closed","",(N(L486)*N(M486)+N(N486)*N(O486)+Y486*Q486)/G486)</f>
        <v/>
      </c>
      <c r="AC486" s="24" t="str">
        <f aca="false">IF(U486&lt;&gt;"Closed","",IF($B486="Short",-1,1)*((N(M486)-H486)*N(L486)+(N(O486)-H486)*N(N486)+(Q486-H486)*Y486)-N(R486))</f>
        <v/>
      </c>
      <c r="AD486" s="25" t="str">
        <f aca="false">IF(OR(AC486="",N(Z486)=0),"",AC486/Z486)</f>
        <v/>
      </c>
      <c r="AE486" s="25" t="str">
        <f aca="false">IF(OR(S486="",N(Z486)=0),"",IF($B486="Short",-1,1)*(S486-H486)*G486/Z486)</f>
        <v/>
      </c>
      <c r="AF486" s="25" t="str">
        <f aca="false">IF(OR(T486="",N(Z486)=0),"",IF($B486="Short",-1,1)*(T486-H486)*G486/Z486)</f>
        <v/>
      </c>
      <c r="AG486" s="21" t="str">
        <f aca="false">IF(U486&lt;&gt;"Open","",Y486*MAX(0,IF($B486="Short",-1,1)*(H486-IF(K486="",I486,K486))))</f>
        <v/>
      </c>
      <c r="AH486" s="26" t="str">
        <f aca="false">IF(U486&lt;&gt;"Closed","",DATE(YEAR(P486),MONTH(P486),1))</f>
        <v/>
      </c>
      <c r="AI486" s="19" t="str">
        <f aca="false">IF(U486&lt;&gt;"Closed","",COUNTIFS($U$7:$U$506,"Closed",$P$7:$P$506,"&lt;"&amp;P486)+COUNTIFS($U$7:U486,"Closed",$P$7:P486,P486))</f>
        <v/>
      </c>
    </row>
    <row r="487" customFormat="false" ht="15" hidden="false" customHeight="false" outlineLevel="0" collapsed="false">
      <c r="A487" s="13"/>
      <c r="B487" s="14"/>
      <c r="C487" s="14"/>
      <c r="D487" s="14"/>
      <c r="E487" s="15"/>
      <c r="F487" s="15"/>
      <c r="G487" s="16"/>
      <c r="H487" s="17"/>
      <c r="I487" s="17"/>
      <c r="J487" s="17"/>
      <c r="K487" s="17"/>
      <c r="L487" s="16"/>
      <c r="M487" s="17"/>
      <c r="N487" s="16"/>
      <c r="O487" s="17"/>
      <c r="P487" s="15"/>
      <c r="Q487" s="17"/>
      <c r="R487" s="17"/>
      <c r="S487" s="17"/>
      <c r="T487" s="17"/>
      <c r="U487" s="18" t="str">
        <f aca="false">IF(A487="","",IF(N(G487)-N(L487)-N(N487)&lt;0,"Check shares",IF(AND(P487&lt;&gt;"",Q487&lt;&gt;""),"Closed","Open")))</f>
        <v/>
      </c>
      <c r="V487" s="19" t="str">
        <f aca="false">IF(OR(F487="",P487=""),"",NETWORKDAYS(F487,P487,Lists!$F$5:$F$40)-1)</f>
        <v/>
      </c>
      <c r="W487" s="18" t="str">
        <f aca="false">IF(V487="","",IF(V487=0,"Same day","Overnight"))</f>
        <v/>
      </c>
      <c r="X487" s="18" t="str">
        <f aca="false">IF(OR(E487="",F487=""),"",IF(AND(E487&gt;=F487,OR(P487="",E487&lt;=P487)),"Yes","No"))</f>
        <v/>
      </c>
      <c r="Y487" s="20" t="str">
        <f aca="false">IF(A487="","",N(G487)-N(L487)-N(N487))</f>
        <v/>
      </c>
      <c r="Z487" s="21" t="str">
        <f aca="false">IF(OR(G487="",H487="",I487=""),"",ABS(H487-I487)*G487)</f>
        <v/>
      </c>
      <c r="AA487" s="22" t="str">
        <f aca="false">IF(OR(J487="",N(Z487)=0),"",ABS(J487-H487)/ABS(H487-I487))</f>
        <v/>
      </c>
      <c r="AB487" s="23" t="str">
        <f aca="false">IF(U487&lt;&gt;"Closed","",(N(L487)*N(M487)+N(N487)*N(O487)+Y487*Q487)/G487)</f>
        <v/>
      </c>
      <c r="AC487" s="24" t="str">
        <f aca="false">IF(U487&lt;&gt;"Closed","",IF($B487="Short",-1,1)*((N(M487)-H487)*N(L487)+(N(O487)-H487)*N(N487)+(Q487-H487)*Y487)-N(R487))</f>
        <v/>
      </c>
      <c r="AD487" s="25" t="str">
        <f aca="false">IF(OR(AC487="",N(Z487)=0),"",AC487/Z487)</f>
        <v/>
      </c>
      <c r="AE487" s="25" t="str">
        <f aca="false">IF(OR(S487="",N(Z487)=0),"",IF($B487="Short",-1,1)*(S487-H487)*G487/Z487)</f>
        <v/>
      </c>
      <c r="AF487" s="25" t="str">
        <f aca="false">IF(OR(T487="",N(Z487)=0),"",IF($B487="Short",-1,1)*(T487-H487)*G487/Z487)</f>
        <v/>
      </c>
      <c r="AG487" s="21" t="str">
        <f aca="false">IF(U487&lt;&gt;"Open","",Y487*MAX(0,IF($B487="Short",-1,1)*(H487-IF(K487="",I487,K487))))</f>
        <v/>
      </c>
      <c r="AH487" s="26" t="str">
        <f aca="false">IF(U487&lt;&gt;"Closed","",DATE(YEAR(P487),MONTH(P487),1))</f>
        <v/>
      </c>
      <c r="AI487" s="19" t="str">
        <f aca="false">IF(U487&lt;&gt;"Closed","",COUNTIFS($U$7:$U$506,"Closed",$P$7:$P$506,"&lt;"&amp;P487)+COUNTIFS($U$7:U487,"Closed",$P$7:P487,P487))</f>
        <v/>
      </c>
    </row>
    <row r="488" customFormat="false" ht="15" hidden="false" customHeight="false" outlineLevel="0" collapsed="false">
      <c r="A488" s="13"/>
      <c r="B488" s="14"/>
      <c r="C488" s="14"/>
      <c r="D488" s="14"/>
      <c r="E488" s="15"/>
      <c r="F488" s="15"/>
      <c r="G488" s="16"/>
      <c r="H488" s="17"/>
      <c r="I488" s="17"/>
      <c r="J488" s="17"/>
      <c r="K488" s="17"/>
      <c r="L488" s="16"/>
      <c r="M488" s="17"/>
      <c r="N488" s="16"/>
      <c r="O488" s="17"/>
      <c r="P488" s="15"/>
      <c r="Q488" s="17"/>
      <c r="R488" s="17"/>
      <c r="S488" s="17"/>
      <c r="T488" s="17"/>
      <c r="U488" s="18" t="str">
        <f aca="false">IF(A488="","",IF(N(G488)-N(L488)-N(N488)&lt;0,"Check shares",IF(AND(P488&lt;&gt;"",Q488&lt;&gt;""),"Closed","Open")))</f>
        <v/>
      </c>
      <c r="V488" s="19" t="str">
        <f aca="false">IF(OR(F488="",P488=""),"",NETWORKDAYS(F488,P488,Lists!$F$5:$F$40)-1)</f>
        <v/>
      </c>
      <c r="W488" s="18" t="str">
        <f aca="false">IF(V488="","",IF(V488=0,"Same day","Overnight"))</f>
        <v/>
      </c>
      <c r="X488" s="18" t="str">
        <f aca="false">IF(OR(E488="",F488=""),"",IF(AND(E488&gt;=F488,OR(P488="",E488&lt;=P488)),"Yes","No"))</f>
        <v/>
      </c>
      <c r="Y488" s="20" t="str">
        <f aca="false">IF(A488="","",N(G488)-N(L488)-N(N488))</f>
        <v/>
      </c>
      <c r="Z488" s="21" t="str">
        <f aca="false">IF(OR(G488="",H488="",I488=""),"",ABS(H488-I488)*G488)</f>
        <v/>
      </c>
      <c r="AA488" s="22" t="str">
        <f aca="false">IF(OR(J488="",N(Z488)=0),"",ABS(J488-H488)/ABS(H488-I488))</f>
        <v/>
      </c>
      <c r="AB488" s="23" t="str">
        <f aca="false">IF(U488&lt;&gt;"Closed","",(N(L488)*N(M488)+N(N488)*N(O488)+Y488*Q488)/G488)</f>
        <v/>
      </c>
      <c r="AC488" s="24" t="str">
        <f aca="false">IF(U488&lt;&gt;"Closed","",IF($B488="Short",-1,1)*((N(M488)-H488)*N(L488)+(N(O488)-H488)*N(N488)+(Q488-H488)*Y488)-N(R488))</f>
        <v/>
      </c>
      <c r="AD488" s="25" t="str">
        <f aca="false">IF(OR(AC488="",N(Z488)=0),"",AC488/Z488)</f>
        <v/>
      </c>
      <c r="AE488" s="25" t="str">
        <f aca="false">IF(OR(S488="",N(Z488)=0),"",IF($B488="Short",-1,1)*(S488-H488)*G488/Z488)</f>
        <v/>
      </c>
      <c r="AF488" s="25" t="str">
        <f aca="false">IF(OR(T488="",N(Z488)=0),"",IF($B488="Short",-1,1)*(T488-H488)*G488/Z488)</f>
        <v/>
      </c>
      <c r="AG488" s="21" t="str">
        <f aca="false">IF(U488&lt;&gt;"Open","",Y488*MAX(0,IF($B488="Short",-1,1)*(H488-IF(K488="",I488,K488))))</f>
        <v/>
      </c>
      <c r="AH488" s="26" t="str">
        <f aca="false">IF(U488&lt;&gt;"Closed","",DATE(YEAR(P488),MONTH(P488),1))</f>
        <v/>
      </c>
      <c r="AI488" s="19" t="str">
        <f aca="false">IF(U488&lt;&gt;"Closed","",COUNTIFS($U$7:$U$506,"Closed",$P$7:$P$506,"&lt;"&amp;P488)+COUNTIFS($U$7:U488,"Closed",$P$7:P488,P488))</f>
        <v/>
      </c>
    </row>
    <row r="489" customFormat="false" ht="15" hidden="false" customHeight="false" outlineLevel="0" collapsed="false">
      <c r="A489" s="13"/>
      <c r="B489" s="14"/>
      <c r="C489" s="14"/>
      <c r="D489" s="14"/>
      <c r="E489" s="15"/>
      <c r="F489" s="15"/>
      <c r="G489" s="16"/>
      <c r="H489" s="17"/>
      <c r="I489" s="17"/>
      <c r="J489" s="17"/>
      <c r="K489" s="17"/>
      <c r="L489" s="16"/>
      <c r="M489" s="17"/>
      <c r="N489" s="16"/>
      <c r="O489" s="17"/>
      <c r="P489" s="15"/>
      <c r="Q489" s="17"/>
      <c r="R489" s="17"/>
      <c r="S489" s="17"/>
      <c r="T489" s="17"/>
      <c r="U489" s="18" t="str">
        <f aca="false">IF(A489="","",IF(N(G489)-N(L489)-N(N489)&lt;0,"Check shares",IF(AND(P489&lt;&gt;"",Q489&lt;&gt;""),"Closed","Open")))</f>
        <v/>
      </c>
      <c r="V489" s="19" t="str">
        <f aca="false">IF(OR(F489="",P489=""),"",NETWORKDAYS(F489,P489,Lists!$F$5:$F$40)-1)</f>
        <v/>
      </c>
      <c r="W489" s="18" t="str">
        <f aca="false">IF(V489="","",IF(V489=0,"Same day","Overnight"))</f>
        <v/>
      </c>
      <c r="X489" s="18" t="str">
        <f aca="false">IF(OR(E489="",F489=""),"",IF(AND(E489&gt;=F489,OR(P489="",E489&lt;=P489)),"Yes","No"))</f>
        <v/>
      </c>
      <c r="Y489" s="20" t="str">
        <f aca="false">IF(A489="","",N(G489)-N(L489)-N(N489))</f>
        <v/>
      </c>
      <c r="Z489" s="21" t="str">
        <f aca="false">IF(OR(G489="",H489="",I489=""),"",ABS(H489-I489)*G489)</f>
        <v/>
      </c>
      <c r="AA489" s="22" t="str">
        <f aca="false">IF(OR(J489="",N(Z489)=0),"",ABS(J489-H489)/ABS(H489-I489))</f>
        <v/>
      </c>
      <c r="AB489" s="23" t="str">
        <f aca="false">IF(U489&lt;&gt;"Closed","",(N(L489)*N(M489)+N(N489)*N(O489)+Y489*Q489)/G489)</f>
        <v/>
      </c>
      <c r="AC489" s="24" t="str">
        <f aca="false">IF(U489&lt;&gt;"Closed","",IF($B489="Short",-1,1)*((N(M489)-H489)*N(L489)+(N(O489)-H489)*N(N489)+(Q489-H489)*Y489)-N(R489))</f>
        <v/>
      </c>
      <c r="AD489" s="25" t="str">
        <f aca="false">IF(OR(AC489="",N(Z489)=0),"",AC489/Z489)</f>
        <v/>
      </c>
      <c r="AE489" s="25" t="str">
        <f aca="false">IF(OR(S489="",N(Z489)=0),"",IF($B489="Short",-1,1)*(S489-H489)*G489/Z489)</f>
        <v/>
      </c>
      <c r="AF489" s="25" t="str">
        <f aca="false">IF(OR(T489="",N(Z489)=0),"",IF($B489="Short",-1,1)*(T489-H489)*G489/Z489)</f>
        <v/>
      </c>
      <c r="AG489" s="21" t="str">
        <f aca="false">IF(U489&lt;&gt;"Open","",Y489*MAX(0,IF($B489="Short",-1,1)*(H489-IF(K489="",I489,K489))))</f>
        <v/>
      </c>
      <c r="AH489" s="26" t="str">
        <f aca="false">IF(U489&lt;&gt;"Closed","",DATE(YEAR(P489),MONTH(P489),1))</f>
        <v/>
      </c>
      <c r="AI489" s="19" t="str">
        <f aca="false">IF(U489&lt;&gt;"Closed","",COUNTIFS($U$7:$U$506,"Closed",$P$7:$P$506,"&lt;"&amp;P489)+COUNTIFS($U$7:U489,"Closed",$P$7:P489,P489))</f>
        <v/>
      </c>
    </row>
    <row r="490" customFormat="false" ht="15" hidden="false" customHeight="false" outlineLevel="0" collapsed="false">
      <c r="A490" s="13"/>
      <c r="B490" s="14"/>
      <c r="C490" s="14"/>
      <c r="D490" s="14"/>
      <c r="E490" s="15"/>
      <c r="F490" s="15"/>
      <c r="G490" s="16"/>
      <c r="H490" s="17"/>
      <c r="I490" s="17"/>
      <c r="J490" s="17"/>
      <c r="K490" s="17"/>
      <c r="L490" s="16"/>
      <c r="M490" s="17"/>
      <c r="N490" s="16"/>
      <c r="O490" s="17"/>
      <c r="P490" s="15"/>
      <c r="Q490" s="17"/>
      <c r="R490" s="17"/>
      <c r="S490" s="17"/>
      <c r="T490" s="17"/>
      <c r="U490" s="18" t="str">
        <f aca="false">IF(A490="","",IF(N(G490)-N(L490)-N(N490)&lt;0,"Check shares",IF(AND(P490&lt;&gt;"",Q490&lt;&gt;""),"Closed","Open")))</f>
        <v/>
      </c>
      <c r="V490" s="19" t="str">
        <f aca="false">IF(OR(F490="",P490=""),"",NETWORKDAYS(F490,P490,Lists!$F$5:$F$40)-1)</f>
        <v/>
      </c>
      <c r="W490" s="18" t="str">
        <f aca="false">IF(V490="","",IF(V490=0,"Same day","Overnight"))</f>
        <v/>
      </c>
      <c r="X490" s="18" t="str">
        <f aca="false">IF(OR(E490="",F490=""),"",IF(AND(E490&gt;=F490,OR(P490="",E490&lt;=P490)),"Yes","No"))</f>
        <v/>
      </c>
      <c r="Y490" s="20" t="str">
        <f aca="false">IF(A490="","",N(G490)-N(L490)-N(N490))</f>
        <v/>
      </c>
      <c r="Z490" s="21" t="str">
        <f aca="false">IF(OR(G490="",H490="",I490=""),"",ABS(H490-I490)*G490)</f>
        <v/>
      </c>
      <c r="AA490" s="22" t="str">
        <f aca="false">IF(OR(J490="",N(Z490)=0),"",ABS(J490-H490)/ABS(H490-I490))</f>
        <v/>
      </c>
      <c r="AB490" s="23" t="str">
        <f aca="false">IF(U490&lt;&gt;"Closed","",(N(L490)*N(M490)+N(N490)*N(O490)+Y490*Q490)/G490)</f>
        <v/>
      </c>
      <c r="AC490" s="24" t="str">
        <f aca="false">IF(U490&lt;&gt;"Closed","",IF($B490="Short",-1,1)*((N(M490)-H490)*N(L490)+(N(O490)-H490)*N(N490)+(Q490-H490)*Y490)-N(R490))</f>
        <v/>
      </c>
      <c r="AD490" s="25" t="str">
        <f aca="false">IF(OR(AC490="",N(Z490)=0),"",AC490/Z490)</f>
        <v/>
      </c>
      <c r="AE490" s="25" t="str">
        <f aca="false">IF(OR(S490="",N(Z490)=0),"",IF($B490="Short",-1,1)*(S490-H490)*G490/Z490)</f>
        <v/>
      </c>
      <c r="AF490" s="25" t="str">
        <f aca="false">IF(OR(T490="",N(Z490)=0),"",IF($B490="Short",-1,1)*(T490-H490)*G490/Z490)</f>
        <v/>
      </c>
      <c r="AG490" s="21" t="str">
        <f aca="false">IF(U490&lt;&gt;"Open","",Y490*MAX(0,IF($B490="Short",-1,1)*(H490-IF(K490="",I490,K490))))</f>
        <v/>
      </c>
      <c r="AH490" s="26" t="str">
        <f aca="false">IF(U490&lt;&gt;"Closed","",DATE(YEAR(P490),MONTH(P490),1))</f>
        <v/>
      </c>
      <c r="AI490" s="19" t="str">
        <f aca="false">IF(U490&lt;&gt;"Closed","",COUNTIFS($U$7:$U$506,"Closed",$P$7:$P$506,"&lt;"&amp;P490)+COUNTIFS($U$7:U490,"Closed",$P$7:P490,P490))</f>
        <v/>
      </c>
    </row>
    <row r="491" customFormat="false" ht="15" hidden="false" customHeight="false" outlineLevel="0" collapsed="false">
      <c r="A491" s="13"/>
      <c r="B491" s="14"/>
      <c r="C491" s="14"/>
      <c r="D491" s="14"/>
      <c r="E491" s="15"/>
      <c r="F491" s="15"/>
      <c r="G491" s="16"/>
      <c r="H491" s="17"/>
      <c r="I491" s="17"/>
      <c r="J491" s="17"/>
      <c r="K491" s="17"/>
      <c r="L491" s="16"/>
      <c r="M491" s="17"/>
      <c r="N491" s="16"/>
      <c r="O491" s="17"/>
      <c r="P491" s="15"/>
      <c r="Q491" s="17"/>
      <c r="R491" s="17"/>
      <c r="S491" s="17"/>
      <c r="T491" s="17"/>
      <c r="U491" s="18" t="str">
        <f aca="false">IF(A491="","",IF(N(G491)-N(L491)-N(N491)&lt;0,"Check shares",IF(AND(P491&lt;&gt;"",Q491&lt;&gt;""),"Closed","Open")))</f>
        <v/>
      </c>
      <c r="V491" s="19" t="str">
        <f aca="false">IF(OR(F491="",P491=""),"",NETWORKDAYS(F491,P491,Lists!$F$5:$F$40)-1)</f>
        <v/>
      </c>
      <c r="W491" s="18" t="str">
        <f aca="false">IF(V491="","",IF(V491=0,"Same day","Overnight"))</f>
        <v/>
      </c>
      <c r="X491" s="18" t="str">
        <f aca="false">IF(OR(E491="",F491=""),"",IF(AND(E491&gt;=F491,OR(P491="",E491&lt;=P491)),"Yes","No"))</f>
        <v/>
      </c>
      <c r="Y491" s="20" t="str">
        <f aca="false">IF(A491="","",N(G491)-N(L491)-N(N491))</f>
        <v/>
      </c>
      <c r="Z491" s="21" t="str">
        <f aca="false">IF(OR(G491="",H491="",I491=""),"",ABS(H491-I491)*G491)</f>
        <v/>
      </c>
      <c r="AA491" s="22" t="str">
        <f aca="false">IF(OR(J491="",N(Z491)=0),"",ABS(J491-H491)/ABS(H491-I491))</f>
        <v/>
      </c>
      <c r="AB491" s="23" t="str">
        <f aca="false">IF(U491&lt;&gt;"Closed","",(N(L491)*N(M491)+N(N491)*N(O491)+Y491*Q491)/G491)</f>
        <v/>
      </c>
      <c r="AC491" s="24" t="str">
        <f aca="false">IF(U491&lt;&gt;"Closed","",IF($B491="Short",-1,1)*((N(M491)-H491)*N(L491)+(N(O491)-H491)*N(N491)+(Q491-H491)*Y491)-N(R491))</f>
        <v/>
      </c>
      <c r="AD491" s="25" t="str">
        <f aca="false">IF(OR(AC491="",N(Z491)=0),"",AC491/Z491)</f>
        <v/>
      </c>
      <c r="AE491" s="25" t="str">
        <f aca="false">IF(OR(S491="",N(Z491)=0),"",IF($B491="Short",-1,1)*(S491-H491)*G491/Z491)</f>
        <v/>
      </c>
      <c r="AF491" s="25" t="str">
        <f aca="false">IF(OR(T491="",N(Z491)=0),"",IF($B491="Short",-1,1)*(T491-H491)*G491/Z491)</f>
        <v/>
      </c>
      <c r="AG491" s="21" t="str">
        <f aca="false">IF(U491&lt;&gt;"Open","",Y491*MAX(0,IF($B491="Short",-1,1)*(H491-IF(K491="",I491,K491))))</f>
        <v/>
      </c>
      <c r="AH491" s="26" t="str">
        <f aca="false">IF(U491&lt;&gt;"Closed","",DATE(YEAR(P491),MONTH(P491),1))</f>
        <v/>
      </c>
      <c r="AI491" s="19" t="str">
        <f aca="false">IF(U491&lt;&gt;"Closed","",COUNTIFS($U$7:$U$506,"Closed",$P$7:$P$506,"&lt;"&amp;P491)+COUNTIFS($U$7:U491,"Closed",$P$7:P491,P491))</f>
        <v/>
      </c>
    </row>
    <row r="492" customFormat="false" ht="15" hidden="false" customHeight="false" outlineLevel="0" collapsed="false">
      <c r="A492" s="13"/>
      <c r="B492" s="14"/>
      <c r="C492" s="14"/>
      <c r="D492" s="14"/>
      <c r="E492" s="15"/>
      <c r="F492" s="15"/>
      <c r="G492" s="16"/>
      <c r="H492" s="17"/>
      <c r="I492" s="17"/>
      <c r="J492" s="17"/>
      <c r="K492" s="17"/>
      <c r="L492" s="16"/>
      <c r="M492" s="17"/>
      <c r="N492" s="16"/>
      <c r="O492" s="17"/>
      <c r="P492" s="15"/>
      <c r="Q492" s="17"/>
      <c r="R492" s="17"/>
      <c r="S492" s="17"/>
      <c r="T492" s="17"/>
      <c r="U492" s="18" t="str">
        <f aca="false">IF(A492="","",IF(N(G492)-N(L492)-N(N492)&lt;0,"Check shares",IF(AND(P492&lt;&gt;"",Q492&lt;&gt;""),"Closed","Open")))</f>
        <v/>
      </c>
      <c r="V492" s="19" t="str">
        <f aca="false">IF(OR(F492="",P492=""),"",NETWORKDAYS(F492,P492,Lists!$F$5:$F$40)-1)</f>
        <v/>
      </c>
      <c r="W492" s="18" t="str">
        <f aca="false">IF(V492="","",IF(V492=0,"Same day","Overnight"))</f>
        <v/>
      </c>
      <c r="X492" s="18" t="str">
        <f aca="false">IF(OR(E492="",F492=""),"",IF(AND(E492&gt;=F492,OR(P492="",E492&lt;=P492)),"Yes","No"))</f>
        <v/>
      </c>
      <c r="Y492" s="20" t="str">
        <f aca="false">IF(A492="","",N(G492)-N(L492)-N(N492))</f>
        <v/>
      </c>
      <c r="Z492" s="21" t="str">
        <f aca="false">IF(OR(G492="",H492="",I492=""),"",ABS(H492-I492)*G492)</f>
        <v/>
      </c>
      <c r="AA492" s="22" t="str">
        <f aca="false">IF(OR(J492="",N(Z492)=0),"",ABS(J492-H492)/ABS(H492-I492))</f>
        <v/>
      </c>
      <c r="AB492" s="23" t="str">
        <f aca="false">IF(U492&lt;&gt;"Closed","",(N(L492)*N(M492)+N(N492)*N(O492)+Y492*Q492)/G492)</f>
        <v/>
      </c>
      <c r="AC492" s="24" t="str">
        <f aca="false">IF(U492&lt;&gt;"Closed","",IF($B492="Short",-1,1)*((N(M492)-H492)*N(L492)+(N(O492)-H492)*N(N492)+(Q492-H492)*Y492)-N(R492))</f>
        <v/>
      </c>
      <c r="AD492" s="25" t="str">
        <f aca="false">IF(OR(AC492="",N(Z492)=0),"",AC492/Z492)</f>
        <v/>
      </c>
      <c r="AE492" s="25" t="str">
        <f aca="false">IF(OR(S492="",N(Z492)=0),"",IF($B492="Short",-1,1)*(S492-H492)*G492/Z492)</f>
        <v/>
      </c>
      <c r="AF492" s="25" t="str">
        <f aca="false">IF(OR(T492="",N(Z492)=0),"",IF($B492="Short",-1,1)*(T492-H492)*G492/Z492)</f>
        <v/>
      </c>
      <c r="AG492" s="21" t="str">
        <f aca="false">IF(U492&lt;&gt;"Open","",Y492*MAX(0,IF($B492="Short",-1,1)*(H492-IF(K492="",I492,K492))))</f>
        <v/>
      </c>
      <c r="AH492" s="26" t="str">
        <f aca="false">IF(U492&lt;&gt;"Closed","",DATE(YEAR(P492),MONTH(P492),1))</f>
        <v/>
      </c>
      <c r="AI492" s="19" t="str">
        <f aca="false">IF(U492&lt;&gt;"Closed","",COUNTIFS($U$7:$U$506,"Closed",$P$7:$P$506,"&lt;"&amp;P492)+COUNTIFS($U$7:U492,"Closed",$P$7:P492,P492))</f>
        <v/>
      </c>
    </row>
    <row r="493" customFormat="false" ht="15" hidden="false" customHeight="false" outlineLevel="0" collapsed="false">
      <c r="A493" s="13"/>
      <c r="B493" s="14"/>
      <c r="C493" s="14"/>
      <c r="D493" s="14"/>
      <c r="E493" s="15"/>
      <c r="F493" s="15"/>
      <c r="G493" s="16"/>
      <c r="H493" s="17"/>
      <c r="I493" s="17"/>
      <c r="J493" s="17"/>
      <c r="K493" s="17"/>
      <c r="L493" s="16"/>
      <c r="M493" s="17"/>
      <c r="N493" s="16"/>
      <c r="O493" s="17"/>
      <c r="P493" s="15"/>
      <c r="Q493" s="17"/>
      <c r="R493" s="17"/>
      <c r="S493" s="17"/>
      <c r="T493" s="17"/>
      <c r="U493" s="18" t="str">
        <f aca="false">IF(A493="","",IF(N(G493)-N(L493)-N(N493)&lt;0,"Check shares",IF(AND(P493&lt;&gt;"",Q493&lt;&gt;""),"Closed","Open")))</f>
        <v/>
      </c>
      <c r="V493" s="19" t="str">
        <f aca="false">IF(OR(F493="",P493=""),"",NETWORKDAYS(F493,P493,Lists!$F$5:$F$40)-1)</f>
        <v/>
      </c>
      <c r="W493" s="18" t="str">
        <f aca="false">IF(V493="","",IF(V493=0,"Same day","Overnight"))</f>
        <v/>
      </c>
      <c r="X493" s="18" t="str">
        <f aca="false">IF(OR(E493="",F493=""),"",IF(AND(E493&gt;=F493,OR(P493="",E493&lt;=P493)),"Yes","No"))</f>
        <v/>
      </c>
      <c r="Y493" s="20" t="str">
        <f aca="false">IF(A493="","",N(G493)-N(L493)-N(N493))</f>
        <v/>
      </c>
      <c r="Z493" s="21" t="str">
        <f aca="false">IF(OR(G493="",H493="",I493=""),"",ABS(H493-I493)*G493)</f>
        <v/>
      </c>
      <c r="AA493" s="22" t="str">
        <f aca="false">IF(OR(J493="",N(Z493)=0),"",ABS(J493-H493)/ABS(H493-I493))</f>
        <v/>
      </c>
      <c r="AB493" s="23" t="str">
        <f aca="false">IF(U493&lt;&gt;"Closed","",(N(L493)*N(M493)+N(N493)*N(O493)+Y493*Q493)/G493)</f>
        <v/>
      </c>
      <c r="AC493" s="24" t="str">
        <f aca="false">IF(U493&lt;&gt;"Closed","",IF($B493="Short",-1,1)*((N(M493)-H493)*N(L493)+(N(O493)-H493)*N(N493)+(Q493-H493)*Y493)-N(R493))</f>
        <v/>
      </c>
      <c r="AD493" s="25" t="str">
        <f aca="false">IF(OR(AC493="",N(Z493)=0),"",AC493/Z493)</f>
        <v/>
      </c>
      <c r="AE493" s="25" t="str">
        <f aca="false">IF(OR(S493="",N(Z493)=0),"",IF($B493="Short",-1,1)*(S493-H493)*G493/Z493)</f>
        <v/>
      </c>
      <c r="AF493" s="25" t="str">
        <f aca="false">IF(OR(T493="",N(Z493)=0),"",IF($B493="Short",-1,1)*(T493-H493)*G493/Z493)</f>
        <v/>
      </c>
      <c r="AG493" s="21" t="str">
        <f aca="false">IF(U493&lt;&gt;"Open","",Y493*MAX(0,IF($B493="Short",-1,1)*(H493-IF(K493="",I493,K493))))</f>
        <v/>
      </c>
      <c r="AH493" s="26" t="str">
        <f aca="false">IF(U493&lt;&gt;"Closed","",DATE(YEAR(P493),MONTH(P493),1))</f>
        <v/>
      </c>
      <c r="AI493" s="19" t="str">
        <f aca="false">IF(U493&lt;&gt;"Closed","",COUNTIFS($U$7:$U$506,"Closed",$P$7:$P$506,"&lt;"&amp;P493)+COUNTIFS($U$7:U493,"Closed",$P$7:P493,P493))</f>
        <v/>
      </c>
    </row>
    <row r="494" customFormat="false" ht="15" hidden="false" customHeight="false" outlineLevel="0" collapsed="false">
      <c r="A494" s="13"/>
      <c r="B494" s="14"/>
      <c r="C494" s="14"/>
      <c r="D494" s="14"/>
      <c r="E494" s="15"/>
      <c r="F494" s="15"/>
      <c r="G494" s="16"/>
      <c r="H494" s="17"/>
      <c r="I494" s="17"/>
      <c r="J494" s="17"/>
      <c r="K494" s="17"/>
      <c r="L494" s="16"/>
      <c r="M494" s="17"/>
      <c r="N494" s="16"/>
      <c r="O494" s="17"/>
      <c r="P494" s="15"/>
      <c r="Q494" s="17"/>
      <c r="R494" s="17"/>
      <c r="S494" s="17"/>
      <c r="T494" s="17"/>
      <c r="U494" s="18" t="str">
        <f aca="false">IF(A494="","",IF(N(G494)-N(L494)-N(N494)&lt;0,"Check shares",IF(AND(P494&lt;&gt;"",Q494&lt;&gt;""),"Closed","Open")))</f>
        <v/>
      </c>
      <c r="V494" s="19" t="str">
        <f aca="false">IF(OR(F494="",P494=""),"",NETWORKDAYS(F494,P494,Lists!$F$5:$F$40)-1)</f>
        <v/>
      </c>
      <c r="W494" s="18" t="str">
        <f aca="false">IF(V494="","",IF(V494=0,"Same day","Overnight"))</f>
        <v/>
      </c>
      <c r="X494" s="18" t="str">
        <f aca="false">IF(OR(E494="",F494=""),"",IF(AND(E494&gt;=F494,OR(P494="",E494&lt;=P494)),"Yes","No"))</f>
        <v/>
      </c>
      <c r="Y494" s="20" t="str">
        <f aca="false">IF(A494="","",N(G494)-N(L494)-N(N494))</f>
        <v/>
      </c>
      <c r="Z494" s="21" t="str">
        <f aca="false">IF(OR(G494="",H494="",I494=""),"",ABS(H494-I494)*G494)</f>
        <v/>
      </c>
      <c r="AA494" s="22" t="str">
        <f aca="false">IF(OR(J494="",N(Z494)=0),"",ABS(J494-H494)/ABS(H494-I494))</f>
        <v/>
      </c>
      <c r="AB494" s="23" t="str">
        <f aca="false">IF(U494&lt;&gt;"Closed","",(N(L494)*N(M494)+N(N494)*N(O494)+Y494*Q494)/G494)</f>
        <v/>
      </c>
      <c r="AC494" s="24" t="str">
        <f aca="false">IF(U494&lt;&gt;"Closed","",IF($B494="Short",-1,1)*((N(M494)-H494)*N(L494)+(N(O494)-H494)*N(N494)+(Q494-H494)*Y494)-N(R494))</f>
        <v/>
      </c>
      <c r="AD494" s="25" t="str">
        <f aca="false">IF(OR(AC494="",N(Z494)=0),"",AC494/Z494)</f>
        <v/>
      </c>
      <c r="AE494" s="25" t="str">
        <f aca="false">IF(OR(S494="",N(Z494)=0),"",IF($B494="Short",-1,1)*(S494-H494)*G494/Z494)</f>
        <v/>
      </c>
      <c r="AF494" s="25" t="str">
        <f aca="false">IF(OR(T494="",N(Z494)=0),"",IF($B494="Short",-1,1)*(T494-H494)*G494/Z494)</f>
        <v/>
      </c>
      <c r="AG494" s="21" t="str">
        <f aca="false">IF(U494&lt;&gt;"Open","",Y494*MAX(0,IF($B494="Short",-1,1)*(H494-IF(K494="",I494,K494))))</f>
        <v/>
      </c>
      <c r="AH494" s="26" t="str">
        <f aca="false">IF(U494&lt;&gt;"Closed","",DATE(YEAR(P494),MONTH(P494),1))</f>
        <v/>
      </c>
      <c r="AI494" s="19" t="str">
        <f aca="false">IF(U494&lt;&gt;"Closed","",COUNTIFS($U$7:$U$506,"Closed",$P$7:$P$506,"&lt;"&amp;P494)+COUNTIFS($U$7:U494,"Closed",$P$7:P494,P494))</f>
        <v/>
      </c>
    </row>
    <row r="495" customFormat="false" ht="15" hidden="false" customHeight="false" outlineLevel="0" collapsed="false">
      <c r="A495" s="13"/>
      <c r="B495" s="14"/>
      <c r="C495" s="14"/>
      <c r="D495" s="14"/>
      <c r="E495" s="15"/>
      <c r="F495" s="15"/>
      <c r="G495" s="16"/>
      <c r="H495" s="17"/>
      <c r="I495" s="17"/>
      <c r="J495" s="17"/>
      <c r="K495" s="17"/>
      <c r="L495" s="16"/>
      <c r="M495" s="17"/>
      <c r="N495" s="16"/>
      <c r="O495" s="17"/>
      <c r="P495" s="15"/>
      <c r="Q495" s="17"/>
      <c r="R495" s="17"/>
      <c r="S495" s="17"/>
      <c r="T495" s="17"/>
      <c r="U495" s="18" t="str">
        <f aca="false">IF(A495="","",IF(N(G495)-N(L495)-N(N495)&lt;0,"Check shares",IF(AND(P495&lt;&gt;"",Q495&lt;&gt;""),"Closed","Open")))</f>
        <v/>
      </c>
      <c r="V495" s="19" t="str">
        <f aca="false">IF(OR(F495="",P495=""),"",NETWORKDAYS(F495,P495,Lists!$F$5:$F$40)-1)</f>
        <v/>
      </c>
      <c r="W495" s="18" t="str">
        <f aca="false">IF(V495="","",IF(V495=0,"Same day","Overnight"))</f>
        <v/>
      </c>
      <c r="X495" s="18" t="str">
        <f aca="false">IF(OR(E495="",F495=""),"",IF(AND(E495&gt;=F495,OR(P495="",E495&lt;=P495)),"Yes","No"))</f>
        <v/>
      </c>
      <c r="Y495" s="20" t="str">
        <f aca="false">IF(A495="","",N(G495)-N(L495)-N(N495))</f>
        <v/>
      </c>
      <c r="Z495" s="21" t="str">
        <f aca="false">IF(OR(G495="",H495="",I495=""),"",ABS(H495-I495)*G495)</f>
        <v/>
      </c>
      <c r="AA495" s="22" t="str">
        <f aca="false">IF(OR(J495="",N(Z495)=0),"",ABS(J495-H495)/ABS(H495-I495))</f>
        <v/>
      </c>
      <c r="AB495" s="23" t="str">
        <f aca="false">IF(U495&lt;&gt;"Closed","",(N(L495)*N(M495)+N(N495)*N(O495)+Y495*Q495)/G495)</f>
        <v/>
      </c>
      <c r="AC495" s="24" t="str">
        <f aca="false">IF(U495&lt;&gt;"Closed","",IF($B495="Short",-1,1)*((N(M495)-H495)*N(L495)+(N(O495)-H495)*N(N495)+(Q495-H495)*Y495)-N(R495))</f>
        <v/>
      </c>
      <c r="AD495" s="25" t="str">
        <f aca="false">IF(OR(AC495="",N(Z495)=0),"",AC495/Z495)</f>
        <v/>
      </c>
      <c r="AE495" s="25" t="str">
        <f aca="false">IF(OR(S495="",N(Z495)=0),"",IF($B495="Short",-1,1)*(S495-H495)*G495/Z495)</f>
        <v/>
      </c>
      <c r="AF495" s="25" t="str">
        <f aca="false">IF(OR(T495="",N(Z495)=0),"",IF($B495="Short",-1,1)*(T495-H495)*G495/Z495)</f>
        <v/>
      </c>
      <c r="AG495" s="21" t="str">
        <f aca="false">IF(U495&lt;&gt;"Open","",Y495*MAX(0,IF($B495="Short",-1,1)*(H495-IF(K495="",I495,K495))))</f>
        <v/>
      </c>
      <c r="AH495" s="26" t="str">
        <f aca="false">IF(U495&lt;&gt;"Closed","",DATE(YEAR(P495),MONTH(P495),1))</f>
        <v/>
      </c>
      <c r="AI495" s="19" t="str">
        <f aca="false">IF(U495&lt;&gt;"Closed","",COUNTIFS($U$7:$U$506,"Closed",$P$7:$P$506,"&lt;"&amp;P495)+COUNTIFS($U$7:U495,"Closed",$P$7:P495,P495))</f>
        <v/>
      </c>
    </row>
    <row r="496" customFormat="false" ht="15" hidden="false" customHeight="false" outlineLevel="0" collapsed="false">
      <c r="A496" s="13"/>
      <c r="B496" s="14"/>
      <c r="C496" s="14"/>
      <c r="D496" s="14"/>
      <c r="E496" s="15"/>
      <c r="F496" s="15"/>
      <c r="G496" s="16"/>
      <c r="H496" s="17"/>
      <c r="I496" s="17"/>
      <c r="J496" s="17"/>
      <c r="K496" s="17"/>
      <c r="L496" s="16"/>
      <c r="M496" s="17"/>
      <c r="N496" s="16"/>
      <c r="O496" s="17"/>
      <c r="P496" s="15"/>
      <c r="Q496" s="17"/>
      <c r="R496" s="17"/>
      <c r="S496" s="17"/>
      <c r="T496" s="17"/>
      <c r="U496" s="18" t="str">
        <f aca="false">IF(A496="","",IF(N(G496)-N(L496)-N(N496)&lt;0,"Check shares",IF(AND(P496&lt;&gt;"",Q496&lt;&gt;""),"Closed","Open")))</f>
        <v/>
      </c>
      <c r="V496" s="19" t="str">
        <f aca="false">IF(OR(F496="",P496=""),"",NETWORKDAYS(F496,P496,Lists!$F$5:$F$40)-1)</f>
        <v/>
      </c>
      <c r="W496" s="18" t="str">
        <f aca="false">IF(V496="","",IF(V496=0,"Same day","Overnight"))</f>
        <v/>
      </c>
      <c r="X496" s="18" t="str">
        <f aca="false">IF(OR(E496="",F496=""),"",IF(AND(E496&gt;=F496,OR(P496="",E496&lt;=P496)),"Yes","No"))</f>
        <v/>
      </c>
      <c r="Y496" s="20" t="str">
        <f aca="false">IF(A496="","",N(G496)-N(L496)-N(N496))</f>
        <v/>
      </c>
      <c r="Z496" s="21" t="str">
        <f aca="false">IF(OR(G496="",H496="",I496=""),"",ABS(H496-I496)*G496)</f>
        <v/>
      </c>
      <c r="AA496" s="22" t="str">
        <f aca="false">IF(OR(J496="",N(Z496)=0),"",ABS(J496-H496)/ABS(H496-I496))</f>
        <v/>
      </c>
      <c r="AB496" s="23" t="str">
        <f aca="false">IF(U496&lt;&gt;"Closed","",(N(L496)*N(M496)+N(N496)*N(O496)+Y496*Q496)/G496)</f>
        <v/>
      </c>
      <c r="AC496" s="24" t="str">
        <f aca="false">IF(U496&lt;&gt;"Closed","",IF($B496="Short",-1,1)*((N(M496)-H496)*N(L496)+(N(O496)-H496)*N(N496)+(Q496-H496)*Y496)-N(R496))</f>
        <v/>
      </c>
      <c r="AD496" s="25" t="str">
        <f aca="false">IF(OR(AC496="",N(Z496)=0),"",AC496/Z496)</f>
        <v/>
      </c>
      <c r="AE496" s="25" t="str">
        <f aca="false">IF(OR(S496="",N(Z496)=0),"",IF($B496="Short",-1,1)*(S496-H496)*G496/Z496)</f>
        <v/>
      </c>
      <c r="AF496" s="25" t="str">
        <f aca="false">IF(OR(T496="",N(Z496)=0),"",IF($B496="Short",-1,1)*(T496-H496)*G496/Z496)</f>
        <v/>
      </c>
      <c r="AG496" s="21" t="str">
        <f aca="false">IF(U496&lt;&gt;"Open","",Y496*MAX(0,IF($B496="Short",-1,1)*(H496-IF(K496="",I496,K496))))</f>
        <v/>
      </c>
      <c r="AH496" s="26" t="str">
        <f aca="false">IF(U496&lt;&gt;"Closed","",DATE(YEAR(P496),MONTH(P496),1))</f>
        <v/>
      </c>
      <c r="AI496" s="19" t="str">
        <f aca="false">IF(U496&lt;&gt;"Closed","",COUNTIFS($U$7:$U$506,"Closed",$P$7:$P$506,"&lt;"&amp;P496)+COUNTIFS($U$7:U496,"Closed",$P$7:P496,P496))</f>
        <v/>
      </c>
    </row>
    <row r="497" customFormat="false" ht="15" hidden="false" customHeight="false" outlineLevel="0" collapsed="false">
      <c r="A497" s="13"/>
      <c r="B497" s="14"/>
      <c r="C497" s="14"/>
      <c r="D497" s="14"/>
      <c r="E497" s="15"/>
      <c r="F497" s="15"/>
      <c r="G497" s="16"/>
      <c r="H497" s="17"/>
      <c r="I497" s="17"/>
      <c r="J497" s="17"/>
      <c r="K497" s="17"/>
      <c r="L497" s="16"/>
      <c r="M497" s="17"/>
      <c r="N497" s="16"/>
      <c r="O497" s="17"/>
      <c r="P497" s="15"/>
      <c r="Q497" s="17"/>
      <c r="R497" s="17"/>
      <c r="S497" s="17"/>
      <c r="T497" s="17"/>
      <c r="U497" s="18" t="str">
        <f aca="false">IF(A497="","",IF(N(G497)-N(L497)-N(N497)&lt;0,"Check shares",IF(AND(P497&lt;&gt;"",Q497&lt;&gt;""),"Closed","Open")))</f>
        <v/>
      </c>
      <c r="V497" s="19" t="str">
        <f aca="false">IF(OR(F497="",P497=""),"",NETWORKDAYS(F497,P497,Lists!$F$5:$F$40)-1)</f>
        <v/>
      </c>
      <c r="W497" s="18" t="str">
        <f aca="false">IF(V497="","",IF(V497=0,"Same day","Overnight"))</f>
        <v/>
      </c>
      <c r="X497" s="18" t="str">
        <f aca="false">IF(OR(E497="",F497=""),"",IF(AND(E497&gt;=F497,OR(P497="",E497&lt;=P497)),"Yes","No"))</f>
        <v/>
      </c>
      <c r="Y497" s="20" t="str">
        <f aca="false">IF(A497="","",N(G497)-N(L497)-N(N497))</f>
        <v/>
      </c>
      <c r="Z497" s="21" t="str">
        <f aca="false">IF(OR(G497="",H497="",I497=""),"",ABS(H497-I497)*G497)</f>
        <v/>
      </c>
      <c r="AA497" s="22" t="str">
        <f aca="false">IF(OR(J497="",N(Z497)=0),"",ABS(J497-H497)/ABS(H497-I497))</f>
        <v/>
      </c>
      <c r="AB497" s="23" t="str">
        <f aca="false">IF(U497&lt;&gt;"Closed","",(N(L497)*N(M497)+N(N497)*N(O497)+Y497*Q497)/G497)</f>
        <v/>
      </c>
      <c r="AC497" s="24" t="str">
        <f aca="false">IF(U497&lt;&gt;"Closed","",IF($B497="Short",-1,1)*((N(M497)-H497)*N(L497)+(N(O497)-H497)*N(N497)+(Q497-H497)*Y497)-N(R497))</f>
        <v/>
      </c>
      <c r="AD497" s="25" t="str">
        <f aca="false">IF(OR(AC497="",N(Z497)=0),"",AC497/Z497)</f>
        <v/>
      </c>
      <c r="AE497" s="25" t="str">
        <f aca="false">IF(OR(S497="",N(Z497)=0),"",IF($B497="Short",-1,1)*(S497-H497)*G497/Z497)</f>
        <v/>
      </c>
      <c r="AF497" s="25" t="str">
        <f aca="false">IF(OR(T497="",N(Z497)=0),"",IF($B497="Short",-1,1)*(T497-H497)*G497/Z497)</f>
        <v/>
      </c>
      <c r="AG497" s="21" t="str">
        <f aca="false">IF(U497&lt;&gt;"Open","",Y497*MAX(0,IF($B497="Short",-1,1)*(H497-IF(K497="",I497,K497))))</f>
        <v/>
      </c>
      <c r="AH497" s="26" t="str">
        <f aca="false">IF(U497&lt;&gt;"Closed","",DATE(YEAR(P497),MONTH(P497),1))</f>
        <v/>
      </c>
      <c r="AI497" s="19" t="str">
        <f aca="false">IF(U497&lt;&gt;"Closed","",COUNTIFS($U$7:$U$506,"Closed",$P$7:$P$506,"&lt;"&amp;P497)+COUNTIFS($U$7:U497,"Closed",$P$7:P497,P497))</f>
        <v/>
      </c>
    </row>
    <row r="498" customFormat="false" ht="15" hidden="false" customHeight="false" outlineLevel="0" collapsed="false">
      <c r="A498" s="13"/>
      <c r="B498" s="14"/>
      <c r="C498" s="14"/>
      <c r="D498" s="14"/>
      <c r="E498" s="15"/>
      <c r="F498" s="15"/>
      <c r="G498" s="16"/>
      <c r="H498" s="17"/>
      <c r="I498" s="17"/>
      <c r="J498" s="17"/>
      <c r="K498" s="17"/>
      <c r="L498" s="16"/>
      <c r="M498" s="17"/>
      <c r="N498" s="16"/>
      <c r="O498" s="17"/>
      <c r="P498" s="15"/>
      <c r="Q498" s="17"/>
      <c r="R498" s="17"/>
      <c r="S498" s="17"/>
      <c r="T498" s="17"/>
      <c r="U498" s="18" t="str">
        <f aca="false">IF(A498="","",IF(N(G498)-N(L498)-N(N498)&lt;0,"Check shares",IF(AND(P498&lt;&gt;"",Q498&lt;&gt;""),"Closed","Open")))</f>
        <v/>
      </c>
      <c r="V498" s="19" t="str">
        <f aca="false">IF(OR(F498="",P498=""),"",NETWORKDAYS(F498,P498,Lists!$F$5:$F$40)-1)</f>
        <v/>
      </c>
      <c r="W498" s="18" t="str">
        <f aca="false">IF(V498="","",IF(V498=0,"Same day","Overnight"))</f>
        <v/>
      </c>
      <c r="X498" s="18" t="str">
        <f aca="false">IF(OR(E498="",F498=""),"",IF(AND(E498&gt;=F498,OR(P498="",E498&lt;=P498)),"Yes","No"))</f>
        <v/>
      </c>
      <c r="Y498" s="20" t="str">
        <f aca="false">IF(A498="","",N(G498)-N(L498)-N(N498))</f>
        <v/>
      </c>
      <c r="Z498" s="21" t="str">
        <f aca="false">IF(OR(G498="",H498="",I498=""),"",ABS(H498-I498)*G498)</f>
        <v/>
      </c>
      <c r="AA498" s="22" t="str">
        <f aca="false">IF(OR(J498="",N(Z498)=0),"",ABS(J498-H498)/ABS(H498-I498))</f>
        <v/>
      </c>
      <c r="AB498" s="23" t="str">
        <f aca="false">IF(U498&lt;&gt;"Closed","",(N(L498)*N(M498)+N(N498)*N(O498)+Y498*Q498)/G498)</f>
        <v/>
      </c>
      <c r="AC498" s="24" t="str">
        <f aca="false">IF(U498&lt;&gt;"Closed","",IF($B498="Short",-1,1)*((N(M498)-H498)*N(L498)+(N(O498)-H498)*N(N498)+(Q498-H498)*Y498)-N(R498))</f>
        <v/>
      </c>
      <c r="AD498" s="25" t="str">
        <f aca="false">IF(OR(AC498="",N(Z498)=0),"",AC498/Z498)</f>
        <v/>
      </c>
      <c r="AE498" s="25" t="str">
        <f aca="false">IF(OR(S498="",N(Z498)=0),"",IF($B498="Short",-1,1)*(S498-H498)*G498/Z498)</f>
        <v/>
      </c>
      <c r="AF498" s="25" t="str">
        <f aca="false">IF(OR(T498="",N(Z498)=0),"",IF($B498="Short",-1,1)*(T498-H498)*G498/Z498)</f>
        <v/>
      </c>
      <c r="AG498" s="21" t="str">
        <f aca="false">IF(U498&lt;&gt;"Open","",Y498*MAX(0,IF($B498="Short",-1,1)*(H498-IF(K498="",I498,K498))))</f>
        <v/>
      </c>
      <c r="AH498" s="26" t="str">
        <f aca="false">IF(U498&lt;&gt;"Closed","",DATE(YEAR(P498),MONTH(P498),1))</f>
        <v/>
      </c>
      <c r="AI498" s="19" t="str">
        <f aca="false">IF(U498&lt;&gt;"Closed","",COUNTIFS($U$7:$U$506,"Closed",$P$7:$P$506,"&lt;"&amp;P498)+COUNTIFS($U$7:U498,"Closed",$P$7:P498,P498))</f>
        <v/>
      </c>
    </row>
    <row r="499" customFormat="false" ht="15" hidden="false" customHeight="false" outlineLevel="0" collapsed="false">
      <c r="A499" s="13"/>
      <c r="B499" s="14"/>
      <c r="C499" s="14"/>
      <c r="D499" s="14"/>
      <c r="E499" s="15"/>
      <c r="F499" s="15"/>
      <c r="G499" s="16"/>
      <c r="H499" s="17"/>
      <c r="I499" s="17"/>
      <c r="J499" s="17"/>
      <c r="K499" s="17"/>
      <c r="L499" s="16"/>
      <c r="M499" s="17"/>
      <c r="N499" s="16"/>
      <c r="O499" s="17"/>
      <c r="P499" s="15"/>
      <c r="Q499" s="17"/>
      <c r="R499" s="17"/>
      <c r="S499" s="17"/>
      <c r="T499" s="17"/>
      <c r="U499" s="18" t="str">
        <f aca="false">IF(A499="","",IF(N(G499)-N(L499)-N(N499)&lt;0,"Check shares",IF(AND(P499&lt;&gt;"",Q499&lt;&gt;""),"Closed","Open")))</f>
        <v/>
      </c>
      <c r="V499" s="19" t="str">
        <f aca="false">IF(OR(F499="",P499=""),"",NETWORKDAYS(F499,P499,Lists!$F$5:$F$40)-1)</f>
        <v/>
      </c>
      <c r="W499" s="18" t="str">
        <f aca="false">IF(V499="","",IF(V499=0,"Same day","Overnight"))</f>
        <v/>
      </c>
      <c r="X499" s="18" t="str">
        <f aca="false">IF(OR(E499="",F499=""),"",IF(AND(E499&gt;=F499,OR(P499="",E499&lt;=P499)),"Yes","No"))</f>
        <v/>
      </c>
      <c r="Y499" s="20" t="str">
        <f aca="false">IF(A499="","",N(G499)-N(L499)-N(N499))</f>
        <v/>
      </c>
      <c r="Z499" s="21" t="str">
        <f aca="false">IF(OR(G499="",H499="",I499=""),"",ABS(H499-I499)*G499)</f>
        <v/>
      </c>
      <c r="AA499" s="22" t="str">
        <f aca="false">IF(OR(J499="",N(Z499)=0),"",ABS(J499-H499)/ABS(H499-I499))</f>
        <v/>
      </c>
      <c r="AB499" s="23" t="str">
        <f aca="false">IF(U499&lt;&gt;"Closed","",(N(L499)*N(M499)+N(N499)*N(O499)+Y499*Q499)/G499)</f>
        <v/>
      </c>
      <c r="AC499" s="24" t="str">
        <f aca="false">IF(U499&lt;&gt;"Closed","",IF($B499="Short",-1,1)*((N(M499)-H499)*N(L499)+(N(O499)-H499)*N(N499)+(Q499-H499)*Y499)-N(R499))</f>
        <v/>
      </c>
      <c r="AD499" s="25" t="str">
        <f aca="false">IF(OR(AC499="",N(Z499)=0),"",AC499/Z499)</f>
        <v/>
      </c>
      <c r="AE499" s="25" t="str">
        <f aca="false">IF(OR(S499="",N(Z499)=0),"",IF($B499="Short",-1,1)*(S499-H499)*G499/Z499)</f>
        <v/>
      </c>
      <c r="AF499" s="25" t="str">
        <f aca="false">IF(OR(T499="",N(Z499)=0),"",IF($B499="Short",-1,1)*(T499-H499)*G499/Z499)</f>
        <v/>
      </c>
      <c r="AG499" s="21" t="str">
        <f aca="false">IF(U499&lt;&gt;"Open","",Y499*MAX(0,IF($B499="Short",-1,1)*(H499-IF(K499="",I499,K499))))</f>
        <v/>
      </c>
      <c r="AH499" s="26" t="str">
        <f aca="false">IF(U499&lt;&gt;"Closed","",DATE(YEAR(P499),MONTH(P499),1))</f>
        <v/>
      </c>
      <c r="AI499" s="19" t="str">
        <f aca="false">IF(U499&lt;&gt;"Closed","",COUNTIFS($U$7:$U$506,"Closed",$P$7:$P$506,"&lt;"&amp;P499)+COUNTIFS($U$7:U499,"Closed",$P$7:P499,P499))</f>
        <v/>
      </c>
    </row>
    <row r="500" customFormat="false" ht="15" hidden="false" customHeight="false" outlineLevel="0" collapsed="false">
      <c r="A500" s="13"/>
      <c r="B500" s="14"/>
      <c r="C500" s="14"/>
      <c r="D500" s="14"/>
      <c r="E500" s="15"/>
      <c r="F500" s="15"/>
      <c r="G500" s="16"/>
      <c r="H500" s="17"/>
      <c r="I500" s="17"/>
      <c r="J500" s="17"/>
      <c r="K500" s="17"/>
      <c r="L500" s="16"/>
      <c r="M500" s="17"/>
      <c r="N500" s="16"/>
      <c r="O500" s="17"/>
      <c r="P500" s="15"/>
      <c r="Q500" s="17"/>
      <c r="R500" s="17"/>
      <c r="S500" s="17"/>
      <c r="T500" s="17"/>
      <c r="U500" s="18" t="str">
        <f aca="false">IF(A500="","",IF(N(G500)-N(L500)-N(N500)&lt;0,"Check shares",IF(AND(P500&lt;&gt;"",Q500&lt;&gt;""),"Closed","Open")))</f>
        <v/>
      </c>
      <c r="V500" s="19" t="str">
        <f aca="false">IF(OR(F500="",P500=""),"",NETWORKDAYS(F500,P500,Lists!$F$5:$F$40)-1)</f>
        <v/>
      </c>
      <c r="W500" s="18" t="str">
        <f aca="false">IF(V500="","",IF(V500=0,"Same day","Overnight"))</f>
        <v/>
      </c>
      <c r="X500" s="18" t="str">
        <f aca="false">IF(OR(E500="",F500=""),"",IF(AND(E500&gt;=F500,OR(P500="",E500&lt;=P500)),"Yes","No"))</f>
        <v/>
      </c>
      <c r="Y500" s="20" t="str">
        <f aca="false">IF(A500="","",N(G500)-N(L500)-N(N500))</f>
        <v/>
      </c>
      <c r="Z500" s="21" t="str">
        <f aca="false">IF(OR(G500="",H500="",I500=""),"",ABS(H500-I500)*G500)</f>
        <v/>
      </c>
      <c r="AA500" s="22" t="str">
        <f aca="false">IF(OR(J500="",N(Z500)=0),"",ABS(J500-H500)/ABS(H500-I500))</f>
        <v/>
      </c>
      <c r="AB500" s="23" t="str">
        <f aca="false">IF(U500&lt;&gt;"Closed","",(N(L500)*N(M500)+N(N500)*N(O500)+Y500*Q500)/G500)</f>
        <v/>
      </c>
      <c r="AC500" s="24" t="str">
        <f aca="false">IF(U500&lt;&gt;"Closed","",IF($B500="Short",-1,1)*((N(M500)-H500)*N(L500)+(N(O500)-H500)*N(N500)+(Q500-H500)*Y500)-N(R500))</f>
        <v/>
      </c>
      <c r="AD500" s="25" t="str">
        <f aca="false">IF(OR(AC500="",N(Z500)=0),"",AC500/Z500)</f>
        <v/>
      </c>
      <c r="AE500" s="25" t="str">
        <f aca="false">IF(OR(S500="",N(Z500)=0),"",IF($B500="Short",-1,1)*(S500-H500)*G500/Z500)</f>
        <v/>
      </c>
      <c r="AF500" s="25" t="str">
        <f aca="false">IF(OR(T500="",N(Z500)=0),"",IF($B500="Short",-1,1)*(T500-H500)*G500/Z500)</f>
        <v/>
      </c>
      <c r="AG500" s="21" t="str">
        <f aca="false">IF(U500&lt;&gt;"Open","",Y500*MAX(0,IF($B500="Short",-1,1)*(H500-IF(K500="",I500,K500))))</f>
        <v/>
      </c>
      <c r="AH500" s="26" t="str">
        <f aca="false">IF(U500&lt;&gt;"Closed","",DATE(YEAR(P500),MONTH(P500),1))</f>
        <v/>
      </c>
      <c r="AI500" s="19" t="str">
        <f aca="false">IF(U500&lt;&gt;"Closed","",COUNTIFS($U$7:$U$506,"Closed",$P$7:$P$506,"&lt;"&amp;P500)+COUNTIFS($U$7:U500,"Closed",$P$7:P500,P500))</f>
        <v/>
      </c>
    </row>
    <row r="501" customFormat="false" ht="15" hidden="false" customHeight="false" outlineLevel="0" collapsed="false">
      <c r="A501" s="13"/>
      <c r="B501" s="14"/>
      <c r="C501" s="14"/>
      <c r="D501" s="14"/>
      <c r="E501" s="15"/>
      <c r="F501" s="15"/>
      <c r="G501" s="16"/>
      <c r="H501" s="17"/>
      <c r="I501" s="17"/>
      <c r="J501" s="17"/>
      <c r="K501" s="17"/>
      <c r="L501" s="16"/>
      <c r="M501" s="17"/>
      <c r="N501" s="16"/>
      <c r="O501" s="17"/>
      <c r="P501" s="15"/>
      <c r="Q501" s="17"/>
      <c r="R501" s="17"/>
      <c r="S501" s="17"/>
      <c r="T501" s="17"/>
      <c r="U501" s="18" t="str">
        <f aca="false">IF(A501="","",IF(N(G501)-N(L501)-N(N501)&lt;0,"Check shares",IF(AND(P501&lt;&gt;"",Q501&lt;&gt;""),"Closed","Open")))</f>
        <v/>
      </c>
      <c r="V501" s="19" t="str">
        <f aca="false">IF(OR(F501="",P501=""),"",NETWORKDAYS(F501,P501,Lists!$F$5:$F$40)-1)</f>
        <v/>
      </c>
      <c r="W501" s="18" t="str">
        <f aca="false">IF(V501="","",IF(V501=0,"Same day","Overnight"))</f>
        <v/>
      </c>
      <c r="X501" s="18" t="str">
        <f aca="false">IF(OR(E501="",F501=""),"",IF(AND(E501&gt;=F501,OR(P501="",E501&lt;=P501)),"Yes","No"))</f>
        <v/>
      </c>
      <c r="Y501" s="20" t="str">
        <f aca="false">IF(A501="","",N(G501)-N(L501)-N(N501))</f>
        <v/>
      </c>
      <c r="Z501" s="21" t="str">
        <f aca="false">IF(OR(G501="",H501="",I501=""),"",ABS(H501-I501)*G501)</f>
        <v/>
      </c>
      <c r="AA501" s="22" t="str">
        <f aca="false">IF(OR(J501="",N(Z501)=0),"",ABS(J501-H501)/ABS(H501-I501))</f>
        <v/>
      </c>
      <c r="AB501" s="23" t="str">
        <f aca="false">IF(U501&lt;&gt;"Closed","",(N(L501)*N(M501)+N(N501)*N(O501)+Y501*Q501)/G501)</f>
        <v/>
      </c>
      <c r="AC501" s="24" t="str">
        <f aca="false">IF(U501&lt;&gt;"Closed","",IF($B501="Short",-1,1)*((N(M501)-H501)*N(L501)+(N(O501)-H501)*N(N501)+(Q501-H501)*Y501)-N(R501))</f>
        <v/>
      </c>
      <c r="AD501" s="25" t="str">
        <f aca="false">IF(OR(AC501="",N(Z501)=0),"",AC501/Z501)</f>
        <v/>
      </c>
      <c r="AE501" s="25" t="str">
        <f aca="false">IF(OR(S501="",N(Z501)=0),"",IF($B501="Short",-1,1)*(S501-H501)*G501/Z501)</f>
        <v/>
      </c>
      <c r="AF501" s="25" t="str">
        <f aca="false">IF(OR(T501="",N(Z501)=0),"",IF($B501="Short",-1,1)*(T501-H501)*G501/Z501)</f>
        <v/>
      </c>
      <c r="AG501" s="21" t="str">
        <f aca="false">IF(U501&lt;&gt;"Open","",Y501*MAX(0,IF($B501="Short",-1,1)*(H501-IF(K501="",I501,K501))))</f>
        <v/>
      </c>
      <c r="AH501" s="26" t="str">
        <f aca="false">IF(U501&lt;&gt;"Closed","",DATE(YEAR(P501),MONTH(P501),1))</f>
        <v/>
      </c>
      <c r="AI501" s="19" t="str">
        <f aca="false">IF(U501&lt;&gt;"Closed","",COUNTIFS($U$7:$U$506,"Closed",$P$7:$P$506,"&lt;"&amp;P501)+COUNTIFS($U$7:U501,"Closed",$P$7:P501,P501))</f>
        <v/>
      </c>
    </row>
    <row r="502" customFormat="false" ht="15" hidden="false" customHeight="false" outlineLevel="0" collapsed="false">
      <c r="A502" s="13"/>
      <c r="B502" s="14"/>
      <c r="C502" s="14"/>
      <c r="D502" s="14"/>
      <c r="E502" s="15"/>
      <c r="F502" s="15"/>
      <c r="G502" s="16"/>
      <c r="H502" s="17"/>
      <c r="I502" s="17"/>
      <c r="J502" s="17"/>
      <c r="K502" s="17"/>
      <c r="L502" s="16"/>
      <c r="M502" s="17"/>
      <c r="N502" s="16"/>
      <c r="O502" s="17"/>
      <c r="P502" s="15"/>
      <c r="Q502" s="17"/>
      <c r="R502" s="17"/>
      <c r="S502" s="17"/>
      <c r="T502" s="17"/>
      <c r="U502" s="18" t="str">
        <f aca="false">IF(A502="","",IF(N(G502)-N(L502)-N(N502)&lt;0,"Check shares",IF(AND(P502&lt;&gt;"",Q502&lt;&gt;""),"Closed","Open")))</f>
        <v/>
      </c>
      <c r="V502" s="19" t="str">
        <f aca="false">IF(OR(F502="",P502=""),"",NETWORKDAYS(F502,P502,Lists!$F$5:$F$40)-1)</f>
        <v/>
      </c>
      <c r="W502" s="18" t="str">
        <f aca="false">IF(V502="","",IF(V502=0,"Same day","Overnight"))</f>
        <v/>
      </c>
      <c r="X502" s="18" t="str">
        <f aca="false">IF(OR(E502="",F502=""),"",IF(AND(E502&gt;=F502,OR(P502="",E502&lt;=P502)),"Yes","No"))</f>
        <v/>
      </c>
      <c r="Y502" s="20" t="str">
        <f aca="false">IF(A502="","",N(G502)-N(L502)-N(N502))</f>
        <v/>
      </c>
      <c r="Z502" s="21" t="str">
        <f aca="false">IF(OR(G502="",H502="",I502=""),"",ABS(H502-I502)*G502)</f>
        <v/>
      </c>
      <c r="AA502" s="22" t="str">
        <f aca="false">IF(OR(J502="",N(Z502)=0),"",ABS(J502-H502)/ABS(H502-I502))</f>
        <v/>
      </c>
      <c r="AB502" s="23" t="str">
        <f aca="false">IF(U502&lt;&gt;"Closed","",(N(L502)*N(M502)+N(N502)*N(O502)+Y502*Q502)/G502)</f>
        <v/>
      </c>
      <c r="AC502" s="24" t="str">
        <f aca="false">IF(U502&lt;&gt;"Closed","",IF($B502="Short",-1,1)*((N(M502)-H502)*N(L502)+(N(O502)-H502)*N(N502)+(Q502-H502)*Y502)-N(R502))</f>
        <v/>
      </c>
      <c r="AD502" s="25" t="str">
        <f aca="false">IF(OR(AC502="",N(Z502)=0),"",AC502/Z502)</f>
        <v/>
      </c>
      <c r="AE502" s="25" t="str">
        <f aca="false">IF(OR(S502="",N(Z502)=0),"",IF($B502="Short",-1,1)*(S502-H502)*G502/Z502)</f>
        <v/>
      </c>
      <c r="AF502" s="25" t="str">
        <f aca="false">IF(OR(T502="",N(Z502)=0),"",IF($B502="Short",-1,1)*(T502-H502)*G502/Z502)</f>
        <v/>
      </c>
      <c r="AG502" s="21" t="str">
        <f aca="false">IF(U502&lt;&gt;"Open","",Y502*MAX(0,IF($B502="Short",-1,1)*(H502-IF(K502="",I502,K502))))</f>
        <v/>
      </c>
      <c r="AH502" s="26" t="str">
        <f aca="false">IF(U502&lt;&gt;"Closed","",DATE(YEAR(P502),MONTH(P502),1))</f>
        <v/>
      </c>
      <c r="AI502" s="19" t="str">
        <f aca="false">IF(U502&lt;&gt;"Closed","",COUNTIFS($U$7:$U$506,"Closed",$P$7:$P$506,"&lt;"&amp;P502)+COUNTIFS($U$7:U502,"Closed",$P$7:P502,P502))</f>
        <v/>
      </c>
    </row>
    <row r="503" customFormat="false" ht="15" hidden="false" customHeight="false" outlineLevel="0" collapsed="false">
      <c r="A503" s="13"/>
      <c r="B503" s="14"/>
      <c r="C503" s="14"/>
      <c r="D503" s="14"/>
      <c r="E503" s="15"/>
      <c r="F503" s="15"/>
      <c r="G503" s="16"/>
      <c r="H503" s="17"/>
      <c r="I503" s="17"/>
      <c r="J503" s="17"/>
      <c r="K503" s="17"/>
      <c r="L503" s="16"/>
      <c r="M503" s="17"/>
      <c r="N503" s="16"/>
      <c r="O503" s="17"/>
      <c r="P503" s="15"/>
      <c r="Q503" s="17"/>
      <c r="R503" s="17"/>
      <c r="S503" s="17"/>
      <c r="T503" s="17"/>
      <c r="U503" s="18" t="str">
        <f aca="false">IF(A503="","",IF(N(G503)-N(L503)-N(N503)&lt;0,"Check shares",IF(AND(P503&lt;&gt;"",Q503&lt;&gt;""),"Closed","Open")))</f>
        <v/>
      </c>
      <c r="V503" s="19" t="str">
        <f aca="false">IF(OR(F503="",P503=""),"",NETWORKDAYS(F503,P503,Lists!$F$5:$F$40)-1)</f>
        <v/>
      </c>
      <c r="W503" s="18" t="str">
        <f aca="false">IF(V503="","",IF(V503=0,"Same day","Overnight"))</f>
        <v/>
      </c>
      <c r="X503" s="18" t="str">
        <f aca="false">IF(OR(E503="",F503=""),"",IF(AND(E503&gt;=F503,OR(P503="",E503&lt;=P503)),"Yes","No"))</f>
        <v/>
      </c>
      <c r="Y503" s="20" t="str">
        <f aca="false">IF(A503="","",N(G503)-N(L503)-N(N503))</f>
        <v/>
      </c>
      <c r="Z503" s="21" t="str">
        <f aca="false">IF(OR(G503="",H503="",I503=""),"",ABS(H503-I503)*G503)</f>
        <v/>
      </c>
      <c r="AA503" s="22" t="str">
        <f aca="false">IF(OR(J503="",N(Z503)=0),"",ABS(J503-H503)/ABS(H503-I503))</f>
        <v/>
      </c>
      <c r="AB503" s="23" t="str">
        <f aca="false">IF(U503&lt;&gt;"Closed","",(N(L503)*N(M503)+N(N503)*N(O503)+Y503*Q503)/G503)</f>
        <v/>
      </c>
      <c r="AC503" s="24" t="str">
        <f aca="false">IF(U503&lt;&gt;"Closed","",IF($B503="Short",-1,1)*((N(M503)-H503)*N(L503)+(N(O503)-H503)*N(N503)+(Q503-H503)*Y503)-N(R503))</f>
        <v/>
      </c>
      <c r="AD503" s="25" t="str">
        <f aca="false">IF(OR(AC503="",N(Z503)=0),"",AC503/Z503)</f>
        <v/>
      </c>
      <c r="AE503" s="25" t="str">
        <f aca="false">IF(OR(S503="",N(Z503)=0),"",IF($B503="Short",-1,1)*(S503-H503)*G503/Z503)</f>
        <v/>
      </c>
      <c r="AF503" s="25" t="str">
        <f aca="false">IF(OR(T503="",N(Z503)=0),"",IF($B503="Short",-1,1)*(T503-H503)*G503/Z503)</f>
        <v/>
      </c>
      <c r="AG503" s="21" t="str">
        <f aca="false">IF(U503&lt;&gt;"Open","",Y503*MAX(0,IF($B503="Short",-1,1)*(H503-IF(K503="",I503,K503))))</f>
        <v/>
      </c>
      <c r="AH503" s="26" t="str">
        <f aca="false">IF(U503&lt;&gt;"Closed","",DATE(YEAR(P503),MONTH(P503),1))</f>
        <v/>
      </c>
      <c r="AI503" s="19" t="str">
        <f aca="false">IF(U503&lt;&gt;"Closed","",COUNTIFS($U$7:$U$506,"Closed",$P$7:$P$506,"&lt;"&amp;P503)+COUNTIFS($U$7:U503,"Closed",$P$7:P503,P503))</f>
        <v/>
      </c>
    </row>
    <row r="504" customFormat="false" ht="15" hidden="false" customHeight="false" outlineLevel="0" collapsed="false">
      <c r="A504" s="13"/>
      <c r="B504" s="14"/>
      <c r="C504" s="14"/>
      <c r="D504" s="14"/>
      <c r="E504" s="15"/>
      <c r="F504" s="15"/>
      <c r="G504" s="16"/>
      <c r="H504" s="17"/>
      <c r="I504" s="17"/>
      <c r="J504" s="17"/>
      <c r="K504" s="17"/>
      <c r="L504" s="16"/>
      <c r="M504" s="17"/>
      <c r="N504" s="16"/>
      <c r="O504" s="17"/>
      <c r="P504" s="15"/>
      <c r="Q504" s="17"/>
      <c r="R504" s="17"/>
      <c r="S504" s="17"/>
      <c r="T504" s="17"/>
      <c r="U504" s="18" t="str">
        <f aca="false">IF(A504="","",IF(N(G504)-N(L504)-N(N504)&lt;0,"Check shares",IF(AND(P504&lt;&gt;"",Q504&lt;&gt;""),"Closed","Open")))</f>
        <v/>
      </c>
      <c r="V504" s="19" t="str">
        <f aca="false">IF(OR(F504="",P504=""),"",NETWORKDAYS(F504,P504,Lists!$F$5:$F$40)-1)</f>
        <v/>
      </c>
      <c r="W504" s="18" t="str">
        <f aca="false">IF(V504="","",IF(V504=0,"Same day","Overnight"))</f>
        <v/>
      </c>
      <c r="X504" s="18" t="str">
        <f aca="false">IF(OR(E504="",F504=""),"",IF(AND(E504&gt;=F504,OR(P504="",E504&lt;=P504)),"Yes","No"))</f>
        <v/>
      </c>
      <c r="Y504" s="20" t="str">
        <f aca="false">IF(A504="","",N(G504)-N(L504)-N(N504))</f>
        <v/>
      </c>
      <c r="Z504" s="21" t="str">
        <f aca="false">IF(OR(G504="",H504="",I504=""),"",ABS(H504-I504)*G504)</f>
        <v/>
      </c>
      <c r="AA504" s="22" t="str">
        <f aca="false">IF(OR(J504="",N(Z504)=0),"",ABS(J504-H504)/ABS(H504-I504))</f>
        <v/>
      </c>
      <c r="AB504" s="23" t="str">
        <f aca="false">IF(U504&lt;&gt;"Closed","",(N(L504)*N(M504)+N(N504)*N(O504)+Y504*Q504)/G504)</f>
        <v/>
      </c>
      <c r="AC504" s="24" t="str">
        <f aca="false">IF(U504&lt;&gt;"Closed","",IF($B504="Short",-1,1)*((N(M504)-H504)*N(L504)+(N(O504)-H504)*N(N504)+(Q504-H504)*Y504)-N(R504))</f>
        <v/>
      </c>
      <c r="AD504" s="25" t="str">
        <f aca="false">IF(OR(AC504="",N(Z504)=0),"",AC504/Z504)</f>
        <v/>
      </c>
      <c r="AE504" s="25" t="str">
        <f aca="false">IF(OR(S504="",N(Z504)=0),"",IF($B504="Short",-1,1)*(S504-H504)*G504/Z504)</f>
        <v/>
      </c>
      <c r="AF504" s="25" t="str">
        <f aca="false">IF(OR(T504="",N(Z504)=0),"",IF($B504="Short",-1,1)*(T504-H504)*G504/Z504)</f>
        <v/>
      </c>
      <c r="AG504" s="21" t="str">
        <f aca="false">IF(U504&lt;&gt;"Open","",Y504*MAX(0,IF($B504="Short",-1,1)*(H504-IF(K504="",I504,K504))))</f>
        <v/>
      </c>
      <c r="AH504" s="26" t="str">
        <f aca="false">IF(U504&lt;&gt;"Closed","",DATE(YEAR(P504),MONTH(P504),1))</f>
        <v/>
      </c>
      <c r="AI504" s="19" t="str">
        <f aca="false">IF(U504&lt;&gt;"Closed","",COUNTIFS($U$7:$U$506,"Closed",$P$7:$P$506,"&lt;"&amp;P504)+COUNTIFS($U$7:U504,"Closed",$P$7:P504,P504))</f>
        <v/>
      </c>
    </row>
    <row r="505" customFormat="false" ht="15" hidden="false" customHeight="false" outlineLevel="0" collapsed="false">
      <c r="A505" s="13"/>
      <c r="B505" s="14"/>
      <c r="C505" s="14"/>
      <c r="D505" s="14"/>
      <c r="E505" s="15"/>
      <c r="F505" s="15"/>
      <c r="G505" s="16"/>
      <c r="H505" s="17"/>
      <c r="I505" s="17"/>
      <c r="J505" s="17"/>
      <c r="K505" s="17"/>
      <c r="L505" s="16"/>
      <c r="M505" s="17"/>
      <c r="N505" s="16"/>
      <c r="O505" s="17"/>
      <c r="P505" s="15"/>
      <c r="Q505" s="17"/>
      <c r="R505" s="17"/>
      <c r="S505" s="17"/>
      <c r="T505" s="17"/>
      <c r="U505" s="18" t="str">
        <f aca="false">IF(A505="","",IF(N(G505)-N(L505)-N(N505)&lt;0,"Check shares",IF(AND(P505&lt;&gt;"",Q505&lt;&gt;""),"Closed","Open")))</f>
        <v/>
      </c>
      <c r="V505" s="19" t="str">
        <f aca="false">IF(OR(F505="",P505=""),"",NETWORKDAYS(F505,P505,Lists!$F$5:$F$40)-1)</f>
        <v/>
      </c>
      <c r="W505" s="18" t="str">
        <f aca="false">IF(V505="","",IF(V505=0,"Same day","Overnight"))</f>
        <v/>
      </c>
      <c r="X505" s="18" t="str">
        <f aca="false">IF(OR(E505="",F505=""),"",IF(AND(E505&gt;=F505,OR(P505="",E505&lt;=P505)),"Yes","No"))</f>
        <v/>
      </c>
      <c r="Y505" s="20" t="str">
        <f aca="false">IF(A505="","",N(G505)-N(L505)-N(N505))</f>
        <v/>
      </c>
      <c r="Z505" s="21" t="str">
        <f aca="false">IF(OR(G505="",H505="",I505=""),"",ABS(H505-I505)*G505)</f>
        <v/>
      </c>
      <c r="AA505" s="22" t="str">
        <f aca="false">IF(OR(J505="",N(Z505)=0),"",ABS(J505-H505)/ABS(H505-I505))</f>
        <v/>
      </c>
      <c r="AB505" s="23" t="str">
        <f aca="false">IF(U505&lt;&gt;"Closed","",(N(L505)*N(M505)+N(N505)*N(O505)+Y505*Q505)/G505)</f>
        <v/>
      </c>
      <c r="AC505" s="24" t="str">
        <f aca="false">IF(U505&lt;&gt;"Closed","",IF($B505="Short",-1,1)*((N(M505)-H505)*N(L505)+(N(O505)-H505)*N(N505)+(Q505-H505)*Y505)-N(R505))</f>
        <v/>
      </c>
      <c r="AD505" s="25" t="str">
        <f aca="false">IF(OR(AC505="",N(Z505)=0),"",AC505/Z505)</f>
        <v/>
      </c>
      <c r="AE505" s="25" t="str">
        <f aca="false">IF(OR(S505="",N(Z505)=0),"",IF($B505="Short",-1,1)*(S505-H505)*G505/Z505)</f>
        <v/>
      </c>
      <c r="AF505" s="25" t="str">
        <f aca="false">IF(OR(T505="",N(Z505)=0),"",IF($B505="Short",-1,1)*(T505-H505)*G505/Z505)</f>
        <v/>
      </c>
      <c r="AG505" s="21" t="str">
        <f aca="false">IF(U505&lt;&gt;"Open","",Y505*MAX(0,IF($B505="Short",-1,1)*(H505-IF(K505="",I505,K505))))</f>
        <v/>
      </c>
      <c r="AH505" s="26" t="str">
        <f aca="false">IF(U505&lt;&gt;"Closed","",DATE(YEAR(P505),MONTH(P505),1))</f>
        <v/>
      </c>
      <c r="AI505" s="19" t="str">
        <f aca="false">IF(U505&lt;&gt;"Closed","",COUNTIFS($U$7:$U$506,"Closed",$P$7:$P$506,"&lt;"&amp;P505)+COUNTIFS($U$7:U505,"Closed",$P$7:P505,P505))</f>
        <v/>
      </c>
    </row>
    <row r="506" customFormat="false" ht="15" hidden="false" customHeight="false" outlineLevel="0" collapsed="false">
      <c r="A506" s="13"/>
      <c r="B506" s="14"/>
      <c r="C506" s="14"/>
      <c r="D506" s="14"/>
      <c r="E506" s="15"/>
      <c r="F506" s="15"/>
      <c r="G506" s="16"/>
      <c r="H506" s="17"/>
      <c r="I506" s="17"/>
      <c r="J506" s="17"/>
      <c r="K506" s="17"/>
      <c r="L506" s="16"/>
      <c r="M506" s="17"/>
      <c r="N506" s="16"/>
      <c r="O506" s="17"/>
      <c r="P506" s="15"/>
      <c r="Q506" s="17"/>
      <c r="R506" s="17"/>
      <c r="S506" s="17"/>
      <c r="T506" s="17"/>
      <c r="U506" s="18" t="str">
        <f aca="false">IF(A506="","",IF(N(G506)-N(L506)-N(N506)&lt;0,"Check shares",IF(AND(P506&lt;&gt;"",Q506&lt;&gt;""),"Closed","Open")))</f>
        <v/>
      </c>
      <c r="V506" s="19" t="str">
        <f aca="false">IF(OR(F506="",P506=""),"",NETWORKDAYS(F506,P506,Lists!$F$5:$F$40)-1)</f>
        <v/>
      </c>
      <c r="W506" s="18" t="str">
        <f aca="false">IF(V506="","",IF(V506=0,"Same day","Overnight"))</f>
        <v/>
      </c>
      <c r="X506" s="18" t="str">
        <f aca="false">IF(OR(E506="",F506=""),"",IF(AND(E506&gt;=F506,OR(P506="",E506&lt;=P506)),"Yes","No"))</f>
        <v/>
      </c>
      <c r="Y506" s="20" t="str">
        <f aca="false">IF(A506="","",N(G506)-N(L506)-N(N506))</f>
        <v/>
      </c>
      <c r="Z506" s="21" t="str">
        <f aca="false">IF(OR(G506="",H506="",I506=""),"",ABS(H506-I506)*G506)</f>
        <v/>
      </c>
      <c r="AA506" s="22" t="str">
        <f aca="false">IF(OR(J506="",N(Z506)=0),"",ABS(J506-H506)/ABS(H506-I506))</f>
        <v/>
      </c>
      <c r="AB506" s="23" t="str">
        <f aca="false">IF(U506&lt;&gt;"Closed","",(N(L506)*N(M506)+N(N506)*N(O506)+Y506*Q506)/G506)</f>
        <v/>
      </c>
      <c r="AC506" s="24" t="str">
        <f aca="false">IF(U506&lt;&gt;"Closed","",IF($B506="Short",-1,1)*((N(M506)-H506)*N(L506)+(N(O506)-H506)*N(N506)+(Q506-H506)*Y506)-N(R506))</f>
        <v/>
      </c>
      <c r="AD506" s="25" t="str">
        <f aca="false">IF(OR(AC506="",N(Z506)=0),"",AC506/Z506)</f>
        <v/>
      </c>
      <c r="AE506" s="25" t="str">
        <f aca="false">IF(OR(S506="",N(Z506)=0),"",IF($B506="Short",-1,1)*(S506-H506)*G506/Z506)</f>
        <v/>
      </c>
      <c r="AF506" s="25" t="str">
        <f aca="false">IF(OR(T506="",N(Z506)=0),"",IF($B506="Short",-1,1)*(T506-H506)*G506/Z506)</f>
        <v/>
      </c>
      <c r="AG506" s="21" t="str">
        <f aca="false">IF(U506&lt;&gt;"Open","",Y506*MAX(0,IF($B506="Short",-1,1)*(H506-IF(K506="",I506,K506))))</f>
        <v/>
      </c>
      <c r="AH506" s="26" t="str">
        <f aca="false">IF(U506&lt;&gt;"Closed","",DATE(YEAR(P506),MONTH(P506),1))</f>
        <v/>
      </c>
      <c r="AI506" s="19" t="str">
        <f aca="false">IF(U506&lt;&gt;"Closed","",COUNTIFS($U$7:$U$506,"Closed",$P$7:$P$506,"&lt;"&amp;P506)+COUNTIFS($U$7:U506,"Closed",$P$7:P506,P506))</f>
        <v/>
      </c>
    </row>
  </sheetData>
  <conditionalFormatting sqref="U7:U506">
    <cfRule type="cellIs" priority="2" operator="equal" aboveAverage="0" equalAverage="0" bottom="0" percent="0" rank="0" text="" dxfId="0">
      <formula>"Check shares"</formula>
    </cfRule>
  </conditionalFormatting>
  <conditionalFormatting sqref="X7:X506">
    <cfRule type="cellIs" priority="3" operator="equal" aboveAverage="0" equalAverage="0" bottom="0" percent="0" rank="0" text="" dxfId="1">
      <formula>"Yes"</formula>
    </cfRule>
  </conditionalFormatting>
  <conditionalFormatting sqref="AC7:AD506">
    <cfRule type="expression" priority="4" aboveAverage="0" equalAverage="0" bottom="0" percent="0" rank="0" text="" dxfId="2">
      <formula>AND(ISNUMBER(AC7),AC7&gt;0)</formula>
    </cfRule>
  </conditionalFormatting>
  <conditionalFormatting sqref="J4">
    <cfRule type="cellIs" priority="5" operator="equal" aboveAverage="0" equalAverage="0" bottom="0" percent="0" rank="0" text="" dxfId="0">
      <formula>"Over limit"</formula>
    </cfRule>
  </conditionalFormatting>
  <dataValidations count="5">
    <dataValidation allowBlank="true" errorStyle="stop" operator="between" showDropDown="false" showErrorMessage="false" showInputMessage="false" sqref="B7:B506" type="list">
      <formula1>"Long,Short"</formula1>
      <formula2>0</formula2>
    </dataValidation>
    <dataValidation allowBlank="true" errorStyle="stop" operator="between" showDropDown="false" showErrorMessage="false" showInputMessage="false" sqref="C7:C506" type="list">
      <formula1>Lists!$A$5:$A$16</formula1>
      <formula2>0</formula2>
    </dataValidation>
    <dataValidation allowBlank="true" errorStyle="stop" operator="between" showDropDown="false" showErrorMessage="false" showInputMessage="false" sqref="D7:D506" type="list">
      <formula1>Lists!$C$5:$C$16</formula1>
      <formula2>0</formula2>
    </dataValidation>
    <dataValidation allowBlank="true" error="Enter a date (e.g. 2026-10-29)." errorStyle="stop" operator="greaterThan" showDropDown="false" showErrorMessage="true" showInputMessage="false" sqref="E7:F506 P7:P506" type="date">
      <formula1>36526</formula1>
      <formula2>0</formula2>
    </dataValidation>
    <dataValidation allowBlank="true" error="Enter a number of 0 or more." errorStyle="stop" operator="greaterThanOrEqual" showDropDown="false" showErrorMessage="true" showInputMessage="false" sqref="G7:O506 Q7:T506"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4" min="4" style="0" width="19"/>
    <col collapsed="false" customWidth="true" hidden="false" outlineLevel="0" max="5" min="5" style="0" width="8"/>
    <col collapsed="false" customWidth="true" hidden="false" outlineLevel="0" max="7" min="6" style="0" width="9"/>
    <col collapsed="false" customWidth="true" hidden="false" outlineLevel="0" max="8" min="8" style="0" width="12"/>
    <col collapsed="false" customWidth="true" hidden="false" outlineLevel="0" max="9" min="9" style="0" width="10"/>
    <col collapsed="false" customWidth="true" hidden="false" outlineLevel="0" max="10" min="10" style="0" width="9"/>
    <col collapsed="false" customWidth="true" hidden="false" outlineLevel="0" max="12" min="12" style="0" width="5"/>
    <col collapsed="false" customWidth="true" hidden="false" outlineLevel="0" max="13" min="13" style="0" width="11"/>
    <col collapsed="false" customWidth="true" hidden="false" outlineLevel="0" max="14" min="14" style="0" width="8"/>
    <col collapsed="false" customWidth="true" hidden="false" outlineLevel="0" max="15" min="15" style="0" width="11"/>
    <col collapsed="false" customWidth="true" hidden="false" outlineLevel="0" max="16" min="16" style="0" width="8"/>
    <col collapsed="false" customWidth="true" hidden="false" outlineLevel="0" max="17" min="17" style="0" width="12"/>
    <col collapsed="false" customWidth="true" hidden="false" outlineLevel="0" max="18" min="18" style="0" width="11"/>
  </cols>
  <sheetData>
    <row r="1" customFormat="false" ht="19.7" hidden="false" customHeight="false" outlineLevel="0" collapsed="false">
      <c r="A1" s="4" t="s">
        <v>70</v>
      </c>
    </row>
    <row r="2" customFormat="false" ht="15" hidden="false" customHeight="false" outlineLevel="0" collapsed="false">
      <c r="A2" s="5" t="s">
        <v>71</v>
      </c>
    </row>
    <row r="3" customFormat="false" ht="15" hidden="false" customHeight="false" outlineLevel="0" collapsed="false">
      <c r="D3" s="6" t="s">
        <v>72</v>
      </c>
      <c r="L3" s="6" t="s">
        <v>73</v>
      </c>
    </row>
    <row r="4" customFormat="false" ht="15" hidden="false" customHeight="false" outlineLevel="0" collapsed="false">
      <c r="A4" s="27" t="s">
        <v>74</v>
      </c>
      <c r="B4" s="27" t="s">
        <v>75</v>
      </c>
      <c r="D4" s="28" t="s">
        <v>37</v>
      </c>
      <c r="E4" s="28" t="s">
        <v>76</v>
      </c>
      <c r="F4" s="28" t="s">
        <v>77</v>
      </c>
      <c r="G4" s="28" t="s">
        <v>78</v>
      </c>
      <c r="H4" s="28" t="s">
        <v>79</v>
      </c>
      <c r="I4" s="28" t="s">
        <v>80</v>
      </c>
      <c r="J4" s="28" t="s">
        <v>81</v>
      </c>
      <c r="L4" s="29" t="s">
        <v>82</v>
      </c>
      <c r="M4" s="29" t="s">
        <v>83</v>
      </c>
      <c r="N4" s="29" t="s">
        <v>35</v>
      </c>
      <c r="O4" s="29" t="s">
        <v>78</v>
      </c>
      <c r="P4" s="29" t="s">
        <v>84</v>
      </c>
      <c r="Q4" s="29" t="s">
        <v>85</v>
      </c>
      <c r="R4" s="29" t="s">
        <v>86</v>
      </c>
    </row>
    <row r="5" customFormat="false" ht="15" hidden="false" customHeight="false" outlineLevel="0" collapsed="false">
      <c r="A5" s="30" t="s">
        <v>29</v>
      </c>
      <c r="B5" s="31" t="n">
        <f aca="false">Journal!$C$3</f>
        <v>20000</v>
      </c>
      <c r="D5" s="0" t="str">
        <f aca="false">IF(Lists!A5="","",Lists!A5)</f>
        <v>Breakout</v>
      </c>
      <c r="E5" s="32" t="n">
        <f aca="false">IF(D5="","",COUNTIFS(Journal!$U$7:$U$506,"Closed",Journal!$C$7:$C$506,D5))</f>
        <v>0</v>
      </c>
      <c r="F5" s="33" t="str">
        <f aca="false">IF(N(E5)=0,"",COUNTIFS(Journal!$U$7:$U$506,"Closed",Journal!$C$7:$C$506,D5,Journal!$AC$7:$AC$506,"&gt;0")/E5)</f>
        <v/>
      </c>
      <c r="G5" s="34" t="n">
        <f aca="false">IF(D5="","",SUMIFS(Journal!$AC$7:$AC$506,Journal!$U$7:$U$506,"Closed",Journal!$C$7:$C$506,D5))</f>
        <v>0</v>
      </c>
      <c r="H5" s="35" t="str">
        <f aca="false">IF(COUNTIFS(Journal!$U$7:$U$506,"Closed",Journal!$C$7:$C$506,D5,Journal!$Z$7:$Z$506,"&gt;0")=0,"",SUMIFS(Journal!$AD$7:$AD$506,Journal!$U$7:$U$506,"Closed",Journal!$C$7:$C$506,D5,Journal!$Z$7:$Z$506,"&gt;0")/COUNTIFS(Journal!$U$7:$U$506,"Closed",Journal!$C$7:$C$506,D5,Journal!$Z$7:$Z$506,"&gt;0"))</f>
        <v/>
      </c>
      <c r="I5" s="36" t="str">
        <f aca="false">IF(N(E5)=0,"",AVERAGEIFS(Journal!$V$7:$V$506,Journal!$U$7:$U$506,"Closed",Journal!$C$7:$C$506,D5))</f>
        <v/>
      </c>
      <c r="J5" s="32" t="n">
        <f aca="false">IF(D5="","",COUNTIFS(Journal!$U$7:$U$506,"Open",Journal!$C$7:$C$506,D5))</f>
        <v>0</v>
      </c>
      <c r="L5" s="0" t="n">
        <v>0</v>
      </c>
      <c r="M5" s="37" t="s">
        <v>87</v>
      </c>
      <c r="O5" s="34"/>
      <c r="P5" s="35"/>
      <c r="Q5" s="34" t="n">
        <f aca="false">N(B5)</f>
        <v>20000</v>
      </c>
      <c r="R5" s="34" t="n">
        <v>0</v>
      </c>
    </row>
    <row r="6" customFormat="false" ht="15" hidden="false" customHeight="false" outlineLevel="0" collapsed="false">
      <c r="A6" s="30" t="s">
        <v>88</v>
      </c>
      <c r="B6" s="38" t="n">
        <f aca="false">COUNTIF(Journal!$U$7:$U$506,"Closed")</f>
        <v>0</v>
      </c>
      <c r="D6" s="0" t="str">
        <f aca="false">IF(Lists!A6="","",Lists!A6)</f>
        <v>Pullback</v>
      </c>
      <c r="E6" s="32" t="n">
        <f aca="false">IF(D6="","",COUNTIFS(Journal!$U$7:$U$506,"Closed",Journal!$C$7:$C$506,D6))</f>
        <v>0</v>
      </c>
      <c r="F6" s="33" t="str">
        <f aca="false">IF(N(E6)=0,"",COUNTIFS(Journal!$U$7:$U$506,"Closed",Journal!$C$7:$C$506,D6,Journal!$AC$7:$AC$506,"&gt;0")/E6)</f>
        <v/>
      </c>
      <c r="G6" s="34" t="n">
        <f aca="false">IF(D6="","",SUMIFS(Journal!$AC$7:$AC$506,Journal!$U$7:$U$506,"Closed",Journal!$C$7:$C$506,D6))</f>
        <v>0</v>
      </c>
      <c r="H6" s="35" t="str">
        <f aca="false">IF(COUNTIFS(Journal!$U$7:$U$506,"Closed",Journal!$C$7:$C$506,D6,Journal!$Z$7:$Z$506,"&gt;0")=0,"",SUMIFS(Journal!$AD$7:$AD$506,Journal!$U$7:$U$506,"Closed",Journal!$C$7:$C$506,D6,Journal!$Z$7:$Z$506,"&gt;0")/COUNTIFS(Journal!$U$7:$U$506,"Closed",Journal!$C$7:$C$506,D6,Journal!$Z$7:$Z$506,"&gt;0"))</f>
        <v/>
      </c>
      <c r="I6" s="36" t="str">
        <f aca="false">IF(N(E6)=0,"",AVERAGEIFS(Journal!$V$7:$V$506,Journal!$U$7:$U$506,"Closed",Journal!$C$7:$C$506,D6))</f>
        <v/>
      </c>
      <c r="J6" s="32" t="n">
        <f aca="false">IF(D6="","",COUNTIFS(Journal!$U$7:$U$506,"Open",Journal!$C$7:$C$506,D6))</f>
        <v>0</v>
      </c>
      <c r="L6" s="0" t="n">
        <v>1</v>
      </c>
      <c r="M6" s="37" t="str">
        <f aca="false">IF(L6&gt;$B$6,"",INDEX(Journal!$P$7:$P$506,MATCH(L6,Journal!$AI$7:$AI$506,0)))</f>
        <v/>
      </c>
      <c r="N6" s="0" t="str">
        <f aca="false">IF(L6&gt;$B$6,"",INDEX(Journal!$A$7:$A$506,MATCH(L6,Journal!$AI$7:$AI$506,0)))</f>
        <v/>
      </c>
      <c r="O6" s="34" t="str">
        <f aca="false">IF(L6&gt;$B$6,"",INDEX(Journal!$AC$7:$AC$506,MATCH(L6,Journal!$AI$7:$AI$506,0)))</f>
        <v/>
      </c>
      <c r="P6" s="35" t="str">
        <f aca="false">IF(L6&gt;$B$6,"",INDEX(Journal!$AD$7:$AD$506,MATCH(L6,Journal!$AI$7:$AI$506,0)))</f>
        <v/>
      </c>
      <c r="Q6" s="34" t="n">
        <f aca="false">IF(L6&gt;$B$6,Q5,Q5+O6)</f>
        <v>20000</v>
      </c>
      <c r="R6" s="34" t="str">
        <f aca="false">IF(L6&gt;$B$6,"",Q6-MAX($Q$5:Q6))</f>
        <v/>
      </c>
    </row>
    <row r="7" customFormat="false" ht="15" hidden="false" customHeight="false" outlineLevel="0" collapsed="false">
      <c r="A7" s="30" t="s">
        <v>89</v>
      </c>
      <c r="B7" s="38" t="n">
        <f aca="false">COUNTIF(Journal!$U$7:$U$506,"Open")</f>
        <v>0</v>
      </c>
      <c r="D7" s="0" t="str">
        <f aca="false">IF(Lists!A7="","",Lists!A7)</f>
        <v>Base breakout</v>
      </c>
      <c r="E7" s="32" t="n">
        <f aca="false">IF(D7="","",COUNTIFS(Journal!$U$7:$U$506,"Closed",Journal!$C$7:$C$506,D7))</f>
        <v>0</v>
      </c>
      <c r="F7" s="33" t="str">
        <f aca="false">IF(N(E7)=0,"",COUNTIFS(Journal!$U$7:$U$506,"Closed",Journal!$C$7:$C$506,D7,Journal!$AC$7:$AC$506,"&gt;0")/E7)</f>
        <v/>
      </c>
      <c r="G7" s="34" t="n">
        <f aca="false">IF(D7="","",SUMIFS(Journal!$AC$7:$AC$506,Journal!$U$7:$U$506,"Closed",Journal!$C$7:$C$506,D7))</f>
        <v>0</v>
      </c>
      <c r="H7" s="35" t="str">
        <f aca="false">IF(COUNTIFS(Journal!$U$7:$U$506,"Closed",Journal!$C$7:$C$506,D7,Journal!$Z$7:$Z$506,"&gt;0")=0,"",SUMIFS(Journal!$AD$7:$AD$506,Journal!$U$7:$U$506,"Closed",Journal!$C$7:$C$506,D7,Journal!$Z$7:$Z$506,"&gt;0")/COUNTIFS(Journal!$U$7:$U$506,"Closed",Journal!$C$7:$C$506,D7,Journal!$Z$7:$Z$506,"&gt;0"))</f>
        <v/>
      </c>
      <c r="I7" s="36" t="str">
        <f aca="false">IF(N(E7)=0,"",AVERAGEIFS(Journal!$V$7:$V$506,Journal!$U$7:$U$506,"Closed",Journal!$C$7:$C$506,D7))</f>
        <v/>
      </c>
      <c r="J7" s="32" t="n">
        <f aca="false">IF(D7="","",COUNTIFS(Journal!$U$7:$U$506,"Open",Journal!$C$7:$C$506,D7))</f>
        <v>0</v>
      </c>
      <c r="L7" s="0" t="n">
        <v>2</v>
      </c>
      <c r="M7" s="37" t="str">
        <f aca="false">IF(L7&gt;$B$6,"",INDEX(Journal!$P$7:$P$506,MATCH(L7,Journal!$AI$7:$AI$506,0)))</f>
        <v/>
      </c>
      <c r="N7" s="0" t="str">
        <f aca="false">IF(L7&gt;$B$6,"",INDEX(Journal!$A$7:$A$506,MATCH(L7,Journal!$AI$7:$AI$506,0)))</f>
        <v/>
      </c>
      <c r="O7" s="34" t="str">
        <f aca="false">IF(L7&gt;$B$6,"",INDEX(Journal!$AC$7:$AC$506,MATCH(L7,Journal!$AI$7:$AI$506,0)))</f>
        <v/>
      </c>
      <c r="P7" s="35" t="str">
        <f aca="false">IF(L7&gt;$B$6,"",INDEX(Journal!$AD$7:$AD$506,MATCH(L7,Journal!$AI$7:$AI$506,0)))</f>
        <v/>
      </c>
      <c r="Q7" s="34" t="n">
        <f aca="false">IF(L7&gt;$B$6,Q6,Q6+O7)</f>
        <v>20000</v>
      </c>
      <c r="R7" s="34" t="str">
        <f aca="false">IF(L7&gt;$B$6,"",Q7-MAX($Q$5:Q7))</f>
        <v/>
      </c>
    </row>
    <row r="8" customFormat="false" ht="15" hidden="false" customHeight="false" outlineLevel="0" collapsed="false">
      <c r="A8" s="30" t="s">
        <v>90</v>
      </c>
      <c r="B8" s="38" t="n">
        <f aca="false">COUNTIFS(Journal!$U$7:$U$506,"Closed",Journal!$AC$7:$AC$506,"&gt;0")</f>
        <v>0</v>
      </c>
      <c r="D8" s="0" t="str">
        <f aca="false">IF(Lists!A8="","",Lists!A8)</f>
        <v>Trend continuation</v>
      </c>
      <c r="E8" s="32" t="n">
        <f aca="false">IF(D8="","",COUNTIFS(Journal!$U$7:$U$506,"Closed",Journal!$C$7:$C$506,D8))</f>
        <v>0</v>
      </c>
      <c r="F8" s="33" t="str">
        <f aca="false">IF(N(E8)=0,"",COUNTIFS(Journal!$U$7:$U$506,"Closed",Journal!$C$7:$C$506,D8,Journal!$AC$7:$AC$506,"&gt;0")/E8)</f>
        <v/>
      </c>
      <c r="G8" s="34" t="n">
        <f aca="false">IF(D8="","",SUMIFS(Journal!$AC$7:$AC$506,Journal!$U$7:$U$506,"Closed",Journal!$C$7:$C$506,D8))</f>
        <v>0</v>
      </c>
      <c r="H8" s="35" t="str">
        <f aca="false">IF(COUNTIFS(Journal!$U$7:$U$506,"Closed",Journal!$C$7:$C$506,D8,Journal!$Z$7:$Z$506,"&gt;0")=0,"",SUMIFS(Journal!$AD$7:$AD$506,Journal!$U$7:$U$506,"Closed",Journal!$C$7:$C$506,D8,Journal!$Z$7:$Z$506,"&gt;0")/COUNTIFS(Journal!$U$7:$U$506,"Closed",Journal!$C$7:$C$506,D8,Journal!$Z$7:$Z$506,"&gt;0"))</f>
        <v/>
      </c>
      <c r="I8" s="36" t="str">
        <f aca="false">IF(N(E8)=0,"",AVERAGEIFS(Journal!$V$7:$V$506,Journal!$U$7:$U$506,"Closed",Journal!$C$7:$C$506,D8))</f>
        <v/>
      </c>
      <c r="J8" s="32" t="n">
        <f aca="false">IF(D8="","",COUNTIFS(Journal!$U$7:$U$506,"Open",Journal!$C$7:$C$506,D8))</f>
        <v>0</v>
      </c>
      <c r="L8" s="0" t="n">
        <v>3</v>
      </c>
      <c r="M8" s="37" t="str">
        <f aca="false">IF(L8&gt;$B$6,"",INDEX(Journal!$P$7:$P$506,MATCH(L8,Journal!$AI$7:$AI$506,0)))</f>
        <v/>
      </c>
      <c r="N8" s="0" t="str">
        <f aca="false">IF(L8&gt;$B$6,"",INDEX(Journal!$A$7:$A$506,MATCH(L8,Journal!$AI$7:$AI$506,0)))</f>
        <v/>
      </c>
      <c r="O8" s="34" t="str">
        <f aca="false">IF(L8&gt;$B$6,"",INDEX(Journal!$AC$7:$AC$506,MATCH(L8,Journal!$AI$7:$AI$506,0)))</f>
        <v/>
      </c>
      <c r="P8" s="35" t="str">
        <f aca="false">IF(L8&gt;$B$6,"",INDEX(Journal!$AD$7:$AD$506,MATCH(L8,Journal!$AI$7:$AI$506,0)))</f>
        <v/>
      </c>
      <c r="Q8" s="34" t="n">
        <f aca="false">IF(L8&gt;$B$6,Q7,Q7+O8)</f>
        <v>20000</v>
      </c>
      <c r="R8" s="34" t="str">
        <f aca="false">IF(L8&gt;$B$6,"",Q8-MAX($Q$5:Q8))</f>
        <v/>
      </c>
    </row>
    <row r="9" customFormat="false" ht="15" hidden="false" customHeight="false" outlineLevel="0" collapsed="false">
      <c r="A9" s="30" t="s">
        <v>91</v>
      </c>
      <c r="B9" s="38" t="n">
        <f aca="false">COUNTIFS(Journal!$U$7:$U$506,"Closed",Journal!$AC$7:$AC$506,"&lt;0")</f>
        <v>0</v>
      </c>
      <c r="D9" s="0" t="str">
        <f aca="false">IF(Lists!A9="","",Lists!A9)</f>
        <v>Earnings gap</v>
      </c>
      <c r="E9" s="32" t="n">
        <f aca="false">IF(D9="","",COUNTIFS(Journal!$U$7:$U$506,"Closed",Journal!$C$7:$C$506,D9))</f>
        <v>0</v>
      </c>
      <c r="F9" s="33" t="str">
        <f aca="false">IF(N(E9)=0,"",COUNTIFS(Journal!$U$7:$U$506,"Closed",Journal!$C$7:$C$506,D9,Journal!$AC$7:$AC$506,"&gt;0")/E9)</f>
        <v/>
      </c>
      <c r="G9" s="34" t="n">
        <f aca="false">IF(D9="","",SUMIFS(Journal!$AC$7:$AC$506,Journal!$U$7:$U$506,"Closed",Journal!$C$7:$C$506,D9))</f>
        <v>0</v>
      </c>
      <c r="H9" s="35" t="str">
        <f aca="false">IF(COUNTIFS(Journal!$U$7:$U$506,"Closed",Journal!$C$7:$C$506,D9,Journal!$Z$7:$Z$506,"&gt;0")=0,"",SUMIFS(Journal!$AD$7:$AD$506,Journal!$U$7:$U$506,"Closed",Journal!$C$7:$C$506,D9,Journal!$Z$7:$Z$506,"&gt;0")/COUNTIFS(Journal!$U$7:$U$506,"Closed",Journal!$C$7:$C$506,D9,Journal!$Z$7:$Z$506,"&gt;0"))</f>
        <v/>
      </c>
      <c r="I9" s="36" t="str">
        <f aca="false">IF(N(E9)=0,"",AVERAGEIFS(Journal!$V$7:$V$506,Journal!$U$7:$U$506,"Closed",Journal!$C$7:$C$506,D9))</f>
        <v/>
      </c>
      <c r="J9" s="32" t="n">
        <f aca="false">IF(D9="","",COUNTIFS(Journal!$U$7:$U$506,"Open",Journal!$C$7:$C$506,D9))</f>
        <v>0</v>
      </c>
      <c r="L9" s="0" t="n">
        <v>4</v>
      </c>
      <c r="M9" s="37" t="str">
        <f aca="false">IF(L9&gt;$B$6,"",INDEX(Journal!$P$7:$P$506,MATCH(L9,Journal!$AI$7:$AI$506,0)))</f>
        <v/>
      </c>
      <c r="N9" s="0" t="str">
        <f aca="false">IF(L9&gt;$B$6,"",INDEX(Journal!$A$7:$A$506,MATCH(L9,Journal!$AI$7:$AI$506,0)))</f>
        <v/>
      </c>
      <c r="O9" s="34" t="str">
        <f aca="false">IF(L9&gt;$B$6,"",INDEX(Journal!$AC$7:$AC$506,MATCH(L9,Journal!$AI$7:$AI$506,0)))</f>
        <v/>
      </c>
      <c r="P9" s="35" t="str">
        <f aca="false">IF(L9&gt;$B$6,"",INDEX(Journal!$AD$7:$AD$506,MATCH(L9,Journal!$AI$7:$AI$506,0)))</f>
        <v/>
      </c>
      <c r="Q9" s="34" t="n">
        <f aca="false">IF(L9&gt;$B$6,Q8,Q8+O9)</f>
        <v>20000</v>
      </c>
      <c r="R9" s="34" t="str">
        <f aca="false">IF(L9&gt;$B$6,"",Q9-MAX($Q$5:Q9))</f>
        <v/>
      </c>
    </row>
    <row r="10" customFormat="false" ht="15" hidden="false" customHeight="false" outlineLevel="0" collapsed="false">
      <c r="A10" s="30" t="s">
        <v>77</v>
      </c>
      <c r="B10" s="39" t="str">
        <f aca="false">IF(B6=0,"",B8/B6)</f>
        <v/>
      </c>
      <c r="D10" s="0" t="str">
        <f aca="false">IF(Lists!A10="","",Lists!A10)</f>
        <v>Mean reversion</v>
      </c>
      <c r="E10" s="32" t="n">
        <f aca="false">IF(D10="","",COUNTIFS(Journal!$U$7:$U$506,"Closed",Journal!$C$7:$C$506,D10))</f>
        <v>0</v>
      </c>
      <c r="F10" s="33" t="str">
        <f aca="false">IF(N(E10)=0,"",COUNTIFS(Journal!$U$7:$U$506,"Closed",Journal!$C$7:$C$506,D10,Journal!$AC$7:$AC$506,"&gt;0")/E10)</f>
        <v/>
      </c>
      <c r="G10" s="34" t="n">
        <f aca="false">IF(D10="","",SUMIFS(Journal!$AC$7:$AC$506,Journal!$U$7:$U$506,"Closed",Journal!$C$7:$C$506,D10))</f>
        <v>0</v>
      </c>
      <c r="H10" s="35" t="str">
        <f aca="false">IF(COUNTIFS(Journal!$U$7:$U$506,"Closed",Journal!$C$7:$C$506,D10,Journal!$Z$7:$Z$506,"&gt;0")=0,"",SUMIFS(Journal!$AD$7:$AD$506,Journal!$U$7:$U$506,"Closed",Journal!$C$7:$C$506,D10,Journal!$Z$7:$Z$506,"&gt;0")/COUNTIFS(Journal!$U$7:$U$506,"Closed",Journal!$C$7:$C$506,D10,Journal!$Z$7:$Z$506,"&gt;0"))</f>
        <v/>
      </c>
      <c r="I10" s="36" t="str">
        <f aca="false">IF(N(E10)=0,"",AVERAGEIFS(Journal!$V$7:$V$506,Journal!$U$7:$U$506,"Closed",Journal!$C$7:$C$506,D10))</f>
        <v/>
      </c>
      <c r="J10" s="32" t="n">
        <f aca="false">IF(D10="","",COUNTIFS(Journal!$U$7:$U$506,"Open",Journal!$C$7:$C$506,D10))</f>
        <v>0</v>
      </c>
      <c r="L10" s="0" t="n">
        <v>5</v>
      </c>
      <c r="M10" s="37" t="str">
        <f aca="false">IF(L10&gt;$B$6,"",INDEX(Journal!$P$7:$P$506,MATCH(L10,Journal!$AI$7:$AI$506,0)))</f>
        <v/>
      </c>
      <c r="N10" s="0" t="str">
        <f aca="false">IF(L10&gt;$B$6,"",INDEX(Journal!$A$7:$A$506,MATCH(L10,Journal!$AI$7:$AI$506,0)))</f>
        <v/>
      </c>
      <c r="O10" s="34" t="str">
        <f aca="false">IF(L10&gt;$B$6,"",INDEX(Journal!$AC$7:$AC$506,MATCH(L10,Journal!$AI$7:$AI$506,0)))</f>
        <v/>
      </c>
      <c r="P10" s="35" t="str">
        <f aca="false">IF(L10&gt;$B$6,"",INDEX(Journal!$AD$7:$AD$506,MATCH(L10,Journal!$AI$7:$AI$506,0)))</f>
        <v/>
      </c>
      <c r="Q10" s="34" t="n">
        <f aca="false">IF(L10&gt;$B$6,Q9,Q9+O10)</f>
        <v>20000</v>
      </c>
      <c r="R10" s="34" t="str">
        <f aca="false">IF(L10&gt;$B$6,"",Q10-MAX($Q$5:Q10))</f>
        <v/>
      </c>
    </row>
    <row r="11" customFormat="false" ht="15" hidden="false" customHeight="false" outlineLevel="0" collapsed="false">
      <c r="A11" s="30" t="s">
        <v>92</v>
      </c>
      <c r="B11" s="40" t="n">
        <f aca="false">SUM(Journal!$AC$7:$AC$506)</f>
        <v>0</v>
      </c>
      <c r="D11" s="0" t="str">
        <f aca="false">IF(Lists!A11="","",Lists!A11)</f>
        <v>Failed breakout</v>
      </c>
      <c r="E11" s="32" t="n">
        <f aca="false">IF(D11="","",COUNTIFS(Journal!$U$7:$U$506,"Closed",Journal!$C$7:$C$506,D11))</f>
        <v>0</v>
      </c>
      <c r="F11" s="33" t="str">
        <f aca="false">IF(N(E11)=0,"",COUNTIFS(Journal!$U$7:$U$506,"Closed",Journal!$C$7:$C$506,D11,Journal!$AC$7:$AC$506,"&gt;0")/E11)</f>
        <v/>
      </c>
      <c r="G11" s="34" t="n">
        <f aca="false">IF(D11="","",SUMIFS(Journal!$AC$7:$AC$506,Journal!$U$7:$U$506,"Closed",Journal!$C$7:$C$506,D11))</f>
        <v>0</v>
      </c>
      <c r="H11" s="35" t="str">
        <f aca="false">IF(COUNTIFS(Journal!$U$7:$U$506,"Closed",Journal!$C$7:$C$506,D11,Journal!$Z$7:$Z$506,"&gt;0")=0,"",SUMIFS(Journal!$AD$7:$AD$506,Journal!$U$7:$U$506,"Closed",Journal!$C$7:$C$506,D11,Journal!$Z$7:$Z$506,"&gt;0")/COUNTIFS(Journal!$U$7:$U$506,"Closed",Journal!$C$7:$C$506,D11,Journal!$Z$7:$Z$506,"&gt;0"))</f>
        <v/>
      </c>
      <c r="I11" s="36" t="str">
        <f aca="false">IF(N(E11)=0,"",AVERAGEIFS(Journal!$V$7:$V$506,Journal!$U$7:$U$506,"Closed",Journal!$C$7:$C$506,D11))</f>
        <v/>
      </c>
      <c r="J11" s="32" t="n">
        <f aca="false">IF(D11="","",COUNTIFS(Journal!$U$7:$U$506,"Open",Journal!$C$7:$C$506,D11))</f>
        <v>0</v>
      </c>
      <c r="L11" s="0" t="n">
        <v>6</v>
      </c>
      <c r="M11" s="37" t="str">
        <f aca="false">IF(L11&gt;$B$6,"",INDEX(Journal!$P$7:$P$506,MATCH(L11,Journal!$AI$7:$AI$506,0)))</f>
        <v/>
      </c>
      <c r="N11" s="0" t="str">
        <f aca="false">IF(L11&gt;$B$6,"",INDEX(Journal!$A$7:$A$506,MATCH(L11,Journal!$AI$7:$AI$506,0)))</f>
        <v/>
      </c>
      <c r="O11" s="34" t="str">
        <f aca="false">IF(L11&gt;$B$6,"",INDEX(Journal!$AC$7:$AC$506,MATCH(L11,Journal!$AI$7:$AI$506,0)))</f>
        <v/>
      </c>
      <c r="P11" s="35" t="str">
        <f aca="false">IF(L11&gt;$B$6,"",INDEX(Journal!$AD$7:$AD$506,MATCH(L11,Journal!$AI$7:$AI$506,0)))</f>
        <v/>
      </c>
      <c r="Q11" s="34" t="n">
        <f aca="false">IF(L11&gt;$B$6,Q10,Q10+O11)</f>
        <v>20000</v>
      </c>
      <c r="R11" s="34" t="str">
        <f aca="false">IF(L11&gt;$B$6,"",Q11-MAX($Q$5:Q11))</f>
        <v/>
      </c>
    </row>
    <row r="12" customFormat="false" ht="15" hidden="false" customHeight="false" outlineLevel="0" collapsed="false">
      <c r="A12" s="30" t="s">
        <v>93</v>
      </c>
      <c r="B12" s="31" t="n">
        <f aca="false">SUMIFS(Journal!$R$7:$R$506,Journal!$U$7:$U$506,"Closed")</f>
        <v>0</v>
      </c>
      <c r="D12" s="0" t="str">
        <f aca="false">IF(Lists!A12="","",Lists!A12)</f>
        <v>Other</v>
      </c>
      <c r="E12" s="32" t="n">
        <f aca="false">IF(D12="","",COUNTIFS(Journal!$U$7:$U$506,"Closed",Journal!$C$7:$C$506,D12))</f>
        <v>0</v>
      </c>
      <c r="F12" s="33" t="str">
        <f aca="false">IF(N(E12)=0,"",COUNTIFS(Journal!$U$7:$U$506,"Closed",Journal!$C$7:$C$506,D12,Journal!$AC$7:$AC$506,"&gt;0")/E12)</f>
        <v/>
      </c>
      <c r="G12" s="34" t="n">
        <f aca="false">IF(D12="","",SUMIFS(Journal!$AC$7:$AC$506,Journal!$U$7:$U$506,"Closed",Journal!$C$7:$C$506,D12))</f>
        <v>0</v>
      </c>
      <c r="H12" s="35" t="str">
        <f aca="false">IF(COUNTIFS(Journal!$U$7:$U$506,"Closed",Journal!$C$7:$C$506,D12,Journal!$Z$7:$Z$506,"&gt;0")=0,"",SUMIFS(Journal!$AD$7:$AD$506,Journal!$U$7:$U$506,"Closed",Journal!$C$7:$C$506,D12,Journal!$Z$7:$Z$506,"&gt;0")/COUNTIFS(Journal!$U$7:$U$506,"Closed",Journal!$C$7:$C$506,D12,Journal!$Z$7:$Z$506,"&gt;0"))</f>
        <v/>
      </c>
      <c r="I12" s="36" t="str">
        <f aca="false">IF(N(E12)=0,"",AVERAGEIFS(Journal!$V$7:$V$506,Journal!$U$7:$U$506,"Closed",Journal!$C$7:$C$506,D12))</f>
        <v/>
      </c>
      <c r="J12" s="32" t="n">
        <f aca="false">IF(D12="","",COUNTIFS(Journal!$U$7:$U$506,"Open",Journal!$C$7:$C$506,D12))</f>
        <v>0</v>
      </c>
      <c r="L12" s="0" t="n">
        <v>7</v>
      </c>
      <c r="M12" s="37" t="str">
        <f aca="false">IF(L12&gt;$B$6,"",INDEX(Journal!$P$7:$P$506,MATCH(L12,Journal!$AI$7:$AI$506,0)))</f>
        <v/>
      </c>
      <c r="N12" s="0" t="str">
        <f aca="false">IF(L12&gt;$B$6,"",INDEX(Journal!$A$7:$A$506,MATCH(L12,Journal!$AI$7:$AI$506,0)))</f>
        <v/>
      </c>
      <c r="O12" s="34" t="str">
        <f aca="false">IF(L12&gt;$B$6,"",INDEX(Journal!$AC$7:$AC$506,MATCH(L12,Journal!$AI$7:$AI$506,0)))</f>
        <v/>
      </c>
      <c r="P12" s="35" t="str">
        <f aca="false">IF(L12&gt;$B$6,"",INDEX(Journal!$AD$7:$AD$506,MATCH(L12,Journal!$AI$7:$AI$506,0)))</f>
        <v/>
      </c>
      <c r="Q12" s="34" t="n">
        <f aca="false">IF(L12&gt;$B$6,Q11,Q11+O12)</f>
        <v>20000</v>
      </c>
      <c r="R12" s="34" t="str">
        <f aca="false">IF(L12&gt;$B$6,"",Q12-MAX($Q$5:Q12))</f>
        <v/>
      </c>
    </row>
    <row r="13" customFormat="false" ht="15" hidden="false" customHeight="false" outlineLevel="0" collapsed="false">
      <c r="A13" s="30" t="s">
        <v>94</v>
      </c>
      <c r="B13" s="31" t="str">
        <f aca="false">IF(B8=0,"",AVERAGEIF(Journal!$AC$7:$AC$506,"&gt;0"))</f>
        <v/>
      </c>
      <c r="D13" s="0" t="str">
        <f aca="false">IF(Lists!A13="","",Lists!A13)</f>
        <v/>
      </c>
      <c r="E13" s="32" t="str">
        <f aca="false">IF(D13="","",COUNTIFS(Journal!$U$7:$U$506,"Closed",Journal!$C$7:$C$506,D13))</f>
        <v/>
      </c>
      <c r="F13" s="33" t="str">
        <f aca="false">IF(N(E13)=0,"",COUNTIFS(Journal!$U$7:$U$506,"Closed",Journal!$C$7:$C$506,D13,Journal!$AC$7:$AC$506,"&gt;0")/E13)</f>
        <v/>
      </c>
      <c r="G13" s="34" t="str">
        <f aca="false">IF(D13="","",SUMIFS(Journal!$AC$7:$AC$506,Journal!$U$7:$U$506,"Closed",Journal!$C$7:$C$506,D13))</f>
        <v/>
      </c>
      <c r="H13" s="35" t="str">
        <f aca="false">IF(COUNTIFS(Journal!$U$7:$U$506,"Closed",Journal!$C$7:$C$506,D13,Journal!$Z$7:$Z$506,"&gt;0")=0,"",SUMIFS(Journal!$AD$7:$AD$506,Journal!$U$7:$U$506,"Closed",Journal!$C$7:$C$506,D13,Journal!$Z$7:$Z$506,"&gt;0")/COUNTIFS(Journal!$U$7:$U$506,"Closed",Journal!$C$7:$C$506,D13,Journal!$Z$7:$Z$506,"&gt;0"))</f>
        <v/>
      </c>
      <c r="I13" s="36" t="str">
        <f aca="false">IF(N(E13)=0,"",AVERAGEIFS(Journal!$V$7:$V$506,Journal!$U$7:$U$506,"Closed",Journal!$C$7:$C$506,D13))</f>
        <v/>
      </c>
      <c r="J13" s="32" t="str">
        <f aca="false">IF(D13="","",COUNTIFS(Journal!$U$7:$U$506,"Open",Journal!$C$7:$C$506,D13))</f>
        <v/>
      </c>
      <c r="L13" s="0" t="n">
        <v>8</v>
      </c>
      <c r="M13" s="37" t="str">
        <f aca="false">IF(L13&gt;$B$6,"",INDEX(Journal!$P$7:$P$506,MATCH(L13,Journal!$AI$7:$AI$506,0)))</f>
        <v/>
      </c>
      <c r="N13" s="0" t="str">
        <f aca="false">IF(L13&gt;$B$6,"",INDEX(Journal!$A$7:$A$506,MATCH(L13,Journal!$AI$7:$AI$506,0)))</f>
        <v/>
      </c>
      <c r="O13" s="34" t="str">
        <f aca="false">IF(L13&gt;$B$6,"",INDEX(Journal!$AC$7:$AC$506,MATCH(L13,Journal!$AI$7:$AI$506,0)))</f>
        <v/>
      </c>
      <c r="P13" s="35" t="str">
        <f aca="false">IF(L13&gt;$B$6,"",INDEX(Journal!$AD$7:$AD$506,MATCH(L13,Journal!$AI$7:$AI$506,0)))</f>
        <v/>
      </c>
      <c r="Q13" s="34" t="n">
        <f aca="false">IF(L13&gt;$B$6,Q12,Q12+O13)</f>
        <v>20000</v>
      </c>
      <c r="R13" s="34" t="str">
        <f aca="false">IF(L13&gt;$B$6,"",Q13-MAX($Q$5:Q13))</f>
        <v/>
      </c>
    </row>
    <row r="14" customFormat="false" ht="15" hidden="false" customHeight="false" outlineLevel="0" collapsed="false">
      <c r="A14" s="30" t="s">
        <v>95</v>
      </c>
      <c r="B14" s="40" t="str">
        <f aca="false">IF(B9=0,"",AVERAGEIF(Journal!$AC$7:$AC$506,"&lt;0"))</f>
        <v/>
      </c>
      <c r="D14" s="0" t="str">
        <f aca="false">IF(Lists!A14="","",Lists!A14)</f>
        <v/>
      </c>
      <c r="E14" s="32" t="str">
        <f aca="false">IF(D14="","",COUNTIFS(Journal!$U$7:$U$506,"Closed",Journal!$C$7:$C$506,D14))</f>
        <v/>
      </c>
      <c r="F14" s="33" t="str">
        <f aca="false">IF(N(E14)=0,"",COUNTIFS(Journal!$U$7:$U$506,"Closed",Journal!$C$7:$C$506,D14,Journal!$AC$7:$AC$506,"&gt;0")/E14)</f>
        <v/>
      </c>
      <c r="G14" s="34" t="str">
        <f aca="false">IF(D14="","",SUMIFS(Journal!$AC$7:$AC$506,Journal!$U$7:$U$506,"Closed",Journal!$C$7:$C$506,D14))</f>
        <v/>
      </c>
      <c r="H14" s="35" t="str">
        <f aca="false">IF(COUNTIFS(Journal!$U$7:$U$506,"Closed",Journal!$C$7:$C$506,D14,Journal!$Z$7:$Z$506,"&gt;0")=0,"",SUMIFS(Journal!$AD$7:$AD$506,Journal!$U$7:$U$506,"Closed",Journal!$C$7:$C$506,D14,Journal!$Z$7:$Z$506,"&gt;0")/COUNTIFS(Journal!$U$7:$U$506,"Closed",Journal!$C$7:$C$506,D14,Journal!$Z$7:$Z$506,"&gt;0"))</f>
        <v/>
      </c>
      <c r="I14" s="36" t="str">
        <f aca="false">IF(N(E14)=0,"",AVERAGEIFS(Journal!$V$7:$V$506,Journal!$U$7:$U$506,"Closed",Journal!$C$7:$C$506,D14))</f>
        <v/>
      </c>
      <c r="J14" s="32" t="str">
        <f aca="false">IF(D14="","",COUNTIFS(Journal!$U$7:$U$506,"Open",Journal!$C$7:$C$506,D14))</f>
        <v/>
      </c>
      <c r="L14" s="0" t="n">
        <v>9</v>
      </c>
      <c r="M14" s="37" t="str">
        <f aca="false">IF(L14&gt;$B$6,"",INDEX(Journal!$P$7:$P$506,MATCH(L14,Journal!$AI$7:$AI$506,0)))</f>
        <v/>
      </c>
      <c r="N14" s="0" t="str">
        <f aca="false">IF(L14&gt;$B$6,"",INDEX(Journal!$A$7:$A$506,MATCH(L14,Journal!$AI$7:$AI$506,0)))</f>
        <v/>
      </c>
      <c r="O14" s="34" t="str">
        <f aca="false">IF(L14&gt;$B$6,"",INDEX(Journal!$AC$7:$AC$506,MATCH(L14,Journal!$AI$7:$AI$506,0)))</f>
        <v/>
      </c>
      <c r="P14" s="35" t="str">
        <f aca="false">IF(L14&gt;$B$6,"",INDEX(Journal!$AD$7:$AD$506,MATCH(L14,Journal!$AI$7:$AI$506,0)))</f>
        <v/>
      </c>
      <c r="Q14" s="34" t="n">
        <f aca="false">IF(L14&gt;$B$6,Q13,Q13+O14)</f>
        <v>20000</v>
      </c>
      <c r="R14" s="34" t="str">
        <f aca="false">IF(L14&gt;$B$6,"",Q14-MAX($Q$5:Q14))</f>
        <v/>
      </c>
    </row>
    <row r="15" customFormat="false" ht="15" hidden="false" customHeight="false" outlineLevel="0" collapsed="false">
      <c r="A15" s="30" t="s">
        <v>96</v>
      </c>
      <c r="B15" s="41" t="str">
        <f aca="false">IF(OR(B13="",B14=""),"",B13/ABS(B14))</f>
        <v/>
      </c>
      <c r="D15" s="0" t="str">
        <f aca="false">IF(Lists!A15="","",Lists!A15)</f>
        <v/>
      </c>
      <c r="E15" s="32" t="str">
        <f aca="false">IF(D15="","",COUNTIFS(Journal!$U$7:$U$506,"Closed",Journal!$C$7:$C$506,D15))</f>
        <v/>
      </c>
      <c r="F15" s="33" t="str">
        <f aca="false">IF(N(E15)=0,"",COUNTIFS(Journal!$U$7:$U$506,"Closed",Journal!$C$7:$C$506,D15,Journal!$AC$7:$AC$506,"&gt;0")/E15)</f>
        <v/>
      </c>
      <c r="G15" s="34" t="str">
        <f aca="false">IF(D15="","",SUMIFS(Journal!$AC$7:$AC$506,Journal!$U$7:$U$506,"Closed",Journal!$C$7:$C$506,D15))</f>
        <v/>
      </c>
      <c r="H15" s="35" t="str">
        <f aca="false">IF(COUNTIFS(Journal!$U$7:$U$506,"Closed",Journal!$C$7:$C$506,D15,Journal!$Z$7:$Z$506,"&gt;0")=0,"",SUMIFS(Journal!$AD$7:$AD$506,Journal!$U$7:$U$506,"Closed",Journal!$C$7:$C$506,D15,Journal!$Z$7:$Z$506,"&gt;0")/COUNTIFS(Journal!$U$7:$U$506,"Closed",Journal!$C$7:$C$506,D15,Journal!$Z$7:$Z$506,"&gt;0"))</f>
        <v/>
      </c>
      <c r="I15" s="36" t="str">
        <f aca="false">IF(N(E15)=0,"",AVERAGEIFS(Journal!$V$7:$V$506,Journal!$U$7:$U$506,"Closed",Journal!$C$7:$C$506,D15))</f>
        <v/>
      </c>
      <c r="J15" s="32" t="str">
        <f aca="false">IF(D15="","",COUNTIFS(Journal!$U$7:$U$506,"Open",Journal!$C$7:$C$506,D15))</f>
        <v/>
      </c>
      <c r="L15" s="0" t="n">
        <v>10</v>
      </c>
      <c r="M15" s="37" t="str">
        <f aca="false">IF(L15&gt;$B$6,"",INDEX(Journal!$P$7:$P$506,MATCH(L15,Journal!$AI$7:$AI$506,0)))</f>
        <v/>
      </c>
      <c r="N15" s="0" t="str">
        <f aca="false">IF(L15&gt;$B$6,"",INDEX(Journal!$A$7:$A$506,MATCH(L15,Journal!$AI$7:$AI$506,0)))</f>
        <v/>
      </c>
      <c r="O15" s="34" t="str">
        <f aca="false">IF(L15&gt;$B$6,"",INDEX(Journal!$AC$7:$AC$506,MATCH(L15,Journal!$AI$7:$AI$506,0)))</f>
        <v/>
      </c>
      <c r="P15" s="35" t="str">
        <f aca="false">IF(L15&gt;$B$6,"",INDEX(Journal!$AD$7:$AD$506,MATCH(L15,Journal!$AI$7:$AI$506,0)))</f>
        <v/>
      </c>
      <c r="Q15" s="34" t="n">
        <f aca="false">IF(L15&gt;$B$6,Q14,Q14+O15)</f>
        <v>20000</v>
      </c>
      <c r="R15" s="34" t="str">
        <f aca="false">IF(L15&gt;$B$6,"",Q15-MAX($Q$5:Q15))</f>
        <v/>
      </c>
    </row>
    <row r="16" customFormat="false" ht="15" hidden="false" customHeight="false" outlineLevel="0" collapsed="false">
      <c r="A16" s="30" t="s">
        <v>97</v>
      </c>
      <c r="B16" s="41" t="str">
        <f aca="false">IF(B9=0,"",SUMIF(Journal!$AC$7:$AC$506,"&gt;0")/ABS(SUMIF(Journal!$AC$7:$AC$506,"&lt;0")))</f>
        <v/>
      </c>
      <c r="D16" s="0" t="str">
        <f aca="false">IF(Lists!A16="","",Lists!A16)</f>
        <v/>
      </c>
      <c r="E16" s="32" t="str">
        <f aca="false">IF(D16="","",COUNTIFS(Journal!$U$7:$U$506,"Closed",Journal!$C$7:$C$506,D16))</f>
        <v/>
      </c>
      <c r="F16" s="33" t="str">
        <f aca="false">IF(N(E16)=0,"",COUNTIFS(Journal!$U$7:$U$506,"Closed",Journal!$C$7:$C$506,D16,Journal!$AC$7:$AC$506,"&gt;0")/E16)</f>
        <v/>
      </c>
      <c r="G16" s="34" t="str">
        <f aca="false">IF(D16="","",SUMIFS(Journal!$AC$7:$AC$506,Journal!$U$7:$U$506,"Closed",Journal!$C$7:$C$506,D16))</f>
        <v/>
      </c>
      <c r="H16" s="35" t="str">
        <f aca="false">IF(COUNTIFS(Journal!$U$7:$U$506,"Closed",Journal!$C$7:$C$506,D16,Journal!$Z$7:$Z$506,"&gt;0")=0,"",SUMIFS(Journal!$AD$7:$AD$506,Journal!$U$7:$U$506,"Closed",Journal!$C$7:$C$506,D16,Journal!$Z$7:$Z$506,"&gt;0")/COUNTIFS(Journal!$U$7:$U$506,"Closed",Journal!$C$7:$C$506,D16,Journal!$Z$7:$Z$506,"&gt;0"))</f>
        <v/>
      </c>
      <c r="I16" s="36" t="str">
        <f aca="false">IF(N(E16)=0,"",AVERAGEIFS(Journal!$V$7:$V$506,Journal!$U$7:$U$506,"Closed",Journal!$C$7:$C$506,D16))</f>
        <v/>
      </c>
      <c r="J16" s="32" t="str">
        <f aca="false">IF(D16="","",COUNTIFS(Journal!$U$7:$U$506,"Open",Journal!$C$7:$C$506,D16))</f>
        <v/>
      </c>
      <c r="L16" s="0" t="n">
        <v>11</v>
      </c>
      <c r="M16" s="37" t="str">
        <f aca="false">IF(L16&gt;$B$6,"",INDEX(Journal!$P$7:$P$506,MATCH(L16,Journal!$AI$7:$AI$506,0)))</f>
        <v/>
      </c>
      <c r="N16" s="0" t="str">
        <f aca="false">IF(L16&gt;$B$6,"",INDEX(Journal!$A$7:$A$506,MATCH(L16,Journal!$AI$7:$AI$506,0)))</f>
        <v/>
      </c>
      <c r="O16" s="34" t="str">
        <f aca="false">IF(L16&gt;$B$6,"",INDEX(Journal!$AC$7:$AC$506,MATCH(L16,Journal!$AI$7:$AI$506,0)))</f>
        <v/>
      </c>
      <c r="P16" s="35" t="str">
        <f aca="false">IF(L16&gt;$B$6,"",INDEX(Journal!$AD$7:$AD$506,MATCH(L16,Journal!$AI$7:$AI$506,0)))</f>
        <v/>
      </c>
      <c r="Q16" s="34" t="n">
        <f aca="false">IF(L16&gt;$B$6,Q15,Q15+O16)</f>
        <v>20000</v>
      </c>
      <c r="R16" s="34" t="str">
        <f aca="false">IF(L16&gt;$B$6,"",Q16-MAX($Q$5:Q16))</f>
        <v/>
      </c>
    </row>
    <row r="17" customFormat="false" ht="15" hidden="false" customHeight="false" outlineLevel="0" collapsed="false">
      <c r="A17" s="30" t="s">
        <v>98</v>
      </c>
      <c r="B17" s="38" t="n">
        <f aca="false">COUNTIFS(Journal!$U$7:$U$506,"Closed",Journal!$Z$7:$Z$506,"&gt;0")</f>
        <v>0</v>
      </c>
      <c r="L17" s="0" t="n">
        <v>12</v>
      </c>
      <c r="M17" s="37" t="str">
        <f aca="false">IF(L17&gt;$B$6,"",INDEX(Journal!$P$7:$P$506,MATCH(L17,Journal!$AI$7:$AI$506,0)))</f>
        <v/>
      </c>
      <c r="N17" s="0" t="str">
        <f aca="false">IF(L17&gt;$B$6,"",INDEX(Journal!$A$7:$A$506,MATCH(L17,Journal!$AI$7:$AI$506,0)))</f>
        <v/>
      </c>
      <c r="O17" s="34" t="str">
        <f aca="false">IF(L17&gt;$B$6,"",INDEX(Journal!$AC$7:$AC$506,MATCH(L17,Journal!$AI$7:$AI$506,0)))</f>
        <v/>
      </c>
      <c r="P17" s="35" t="str">
        <f aca="false">IF(L17&gt;$B$6,"",INDEX(Journal!$AD$7:$AD$506,MATCH(L17,Journal!$AI$7:$AI$506,0)))</f>
        <v/>
      </c>
      <c r="Q17" s="34" t="n">
        <f aca="false">IF(L17&gt;$B$6,Q16,Q16+O17)</f>
        <v>20000</v>
      </c>
      <c r="R17" s="34" t="str">
        <f aca="false">IF(L17&gt;$B$6,"",Q17-MAX($Q$5:Q17))</f>
        <v/>
      </c>
    </row>
    <row r="18" customFormat="false" ht="15" hidden="false" customHeight="false" outlineLevel="0" collapsed="false">
      <c r="A18" s="30" t="s">
        <v>99</v>
      </c>
      <c r="B18" s="42" t="str">
        <f aca="false">IF(B17=0,"",SUMIFS(Journal!$AD$7:$AD$506,Journal!$U$7:$U$506,"Closed",Journal!$Z$7:$Z$506,"&gt;0")/B17)</f>
        <v/>
      </c>
      <c r="L18" s="0" t="n">
        <v>13</v>
      </c>
      <c r="M18" s="37" t="str">
        <f aca="false">IF(L18&gt;$B$6,"",INDEX(Journal!$P$7:$P$506,MATCH(L18,Journal!$AI$7:$AI$506,0)))</f>
        <v/>
      </c>
      <c r="N18" s="0" t="str">
        <f aca="false">IF(L18&gt;$B$6,"",INDEX(Journal!$A$7:$A$506,MATCH(L18,Journal!$AI$7:$AI$506,0)))</f>
        <v/>
      </c>
      <c r="O18" s="34" t="str">
        <f aca="false">IF(L18&gt;$B$6,"",INDEX(Journal!$AC$7:$AC$506,MATCH(L18,Journal!$AI$7:$AI$506,0)))</f>
        <v/>
      </c>
      <c r="P18" s="35" t="str">
        <f aca="false">IF(L18&gt;$B$6,"",INDEX(Journal!$AD$7:$AD$506,MATCH(L18,Journal!$AI$7:$AI$506,0)))</f>
        <v/>
      </c>
      <c r="Q18" s="34" t="n">
        <f aca="false">IF(L18&gt;$B$6,Q17,Q17+O18)</f>
        <v>20000</v>
      </c>
      <c r="R18" s="34" t="str">
        <f aca="false">IF(L18&gt;$B$6,"",Q18-MAX($Q$5:Q18))</f>
        <v/>
      </c>
    </row>
    <row r="19" customFormat="false" ht="15" hidden="false" customHeight="false" outlineLevel="0" collapsed="false">
      <c r="A19" s="30" t="s">
        <v>100</v>
      </c>
      <c r="B19" s="42" t="str">
        <f aca="false">IF(COUNTIFS(Journal!$U$7:$U$506,"Closed",Journal!$Z$7:$Z$506,"&gt;0",Journal!$AC$7:$AC$506,"&gt;0")=0,"",AVERAGEIFS(Journal!$AD$7:$AD$506,Journal!$U$7:$U$506,"Closed",Journal!$Z$7:$Z$506,"&gt;0",Journal!$AC$7:$AC$506,"&gt;0"))</f>
        <v/>
      </c>
      <c r="D19" s="6" t="s">
        <v>101</v>
      </c>
      <c r="L19" s="0" t="n">
        <v>14</v>
      </c>
      <c r="M19" s="37" t="str">
        <f aca="false">IF(L19&gt;$B$6,"",INDEX(Journal!$P$7:$P$506,MATCH(L19,Journal!$AI$7:$AI$506,0)))</f>
        <v/>
      </c>
      <c r="N19" s="0" t="str">
        <f aca="false">IF(L19&gt;$B$6,"",INDEX(Journal!$A$7:$A$506,MATCH(L19,Journal!$AI$7:$AI$506,0)))</f>
        <v/>
      </c>
      <c r="O19" s="34" t="str">
        <f aca="false">IF(L19&gt;$B$6,"",INDEX(Journal!$AC$7:$AC$506,MATCH(L19,Journal!$AI$7:$AI$506,0)))</f>
        <v/>
      </c>
      <c r="P19" s="35" t="str">
        <f aca="false">IF(L19&gt;$B$6,"",INDEX(Journal!$AD$7:$AD$506,MATCH(L19,Journal!$AI$7:$AI$506,0)))</f>
        <v/>
      </c>
      <c r="Q19" s="34" t="n">
        <f aca="false">IF(L19&gt;$B$6,Q18,Q18+O19)</f>
        <v>20000</v>
      </c>
      <c r="R19" s="34" t="str">
        <f aca="false">IF(L19&gt;$B$6,"",Q19-MAX($Q$5:Q19))</f>
        <v/>
      </c>
    </row>
    <row r="20" customFormat="false" ht="15" hidden="false" customHeight="false" outlineLevel="0" collapsed="false">
      <c r="A20" s="30" t="s">
        <v>102</v>
      </c>
      <c r="B20" s="42" t="str">
        <f aca="false">IF(COUNTIFS(Journal!$U$7:$U$506,"Closed",Journal!$Z$7:$Z$506,"&gt;0",Journal!$AC$7:$AC$506,"&lt;0")=0,"",AVERAGEIFS(Journal!$AD$7:$AD$506,Journal!$U$7:$U$506,"Closed",Journal!$Z$7:$Z$506,"&gt;0",Journal!$AC$7:$AC$506,"&lt;0"))</f>
        <v/>
      </c>
      <c r="D20" s="28" t="s">
        <v>103</v>
      </c>
      <c r="E20" s="28" t="s">
        <v>76</v>
      </c>
      <c r="F20" s="28" t="s">
        <v>104</v>
      </c>
      <c r="G20" s="28" t="s">
        <v>77</v>
      </c>
      <c r="H20" s="28" t="s">
        <v>78</v>
      </c>
      <c r="I20" s="28" t="s">
        <v>105</v>
      </c>
      <c r="J20" s="28" t="s">
        <v>79</v>
      </c>
      <c r="L20" s="0" t="n">
        <v>15</v>
      </c>
      <c r="M20" s="37" t="str">
        <f aca="false">IF(L20&gt;$B$6,"",INDEX(Journal!$P$7:$P$506,MATCH(L20,Journal!$AI$7:$AI$506,0)))</f>
        <v/>
      </c>
      <c r="N20" s="0" t="str">
        <f aca="false">IF(L20&gt;$B$6,"",INDEX(Journal!$A$7:$A$506,MATCH(L20,Journal!$AI$7:$AI$506,0)))</f>
        <v/>
      </c>
      <c r="O20" s="34" t="str">
        <f aca="false">IF(L20&gt;$B$6,"",INDEX(Journal!$AC$7:$AC$506,MATCH(L20,Journal!$AI$7:$AI$506,0)))</f>
        <v/>
      </c>
      <c r="P20" s="35" t="str">
        <f aca="false">IF(L20&gt;$B$6,"",INDEX(Journal!$AD$7:$AD$506,MATCH(L20,Journal!$AI$7:$AI$506,0)))</f>
        <v/>
      </c>
      <c r="Q20" s="34" t="n">
        <f aca="false">IF(L20&gt;$B$6,Q19,Q19+O20)</f>
        <v>20000</v>
      </c>
      <c r="R20" s="34" t="str">
        <f aca="false">IF(L20&gt;$B$6,"",Q20-MAX($Q$5:Q20))</f>
        <v/>
      </c>
    </row>
    <row r="21" customFormat="false" ht="15" hidden="false" customHeight="false" outlineLevel="0" collapsed="false">
      <c r="A21" s="30" t="s">
        <v>106</v>
      </c>
      <c r="B21" s="40" t="str">
        <f aca="false">IF(B6=0,"",B11/B6)</f>
        <v/>
      </c>
      <c r="D21" s="43" t="str">
        <f aca="false">IF(COUNT(Journal!$AH$7:$AH$506)=0,"",MIN(Journal!$AH$7:$AH$506))</f>
        <v/>
      </c>
      <c r="E21" s="32" t="str">
        <f aca="false">IF(D21="","",COUNTIFS(Journal!$AH$7:$AH$506,D21))</f>
        <v/>
      </c>
      <c r="F21" s="32" t="str">
        <f aca="false">IF(D21="","",COUNTIFS(Journal!$AH$7:$AH$506,D21,Journal!$AC$7:$AC$506,"&gt;0"))</f>
        <v/>
      </c>
      <c r="G21" s="33" t="str">
        <f aca="false">IF(N(E21)=0,"",F21/E21)</f>
        <v/>
      </c>
      <c r="H21" s="34" t="str">
        <f aca="false">IF(D21="","",SUMIFS(Journal!$AC$7:$AC$506,Journal!$AH$7:$AH$506,D21))</f>
        <v/>
      </c>
      <c r="I21" s="35" t="str">
        <f aca="false">IF(D21="","",SUMIFS(Journal!$AD$7:$AD$506,Journal!$AH$7:$AH$506,D21))</f>
        <v/>
      </c>
      <c r="J21" s="35" t="str">
        <f aca="false">IF(COUNTIFS(Journal!$AH$7:$AH$506,D21,Journal!$Z$7:$Z$506,"&gt;0")=0,"",SUMIFS(Journal!$AD$7:$AD$506,Journal!$AH$7:$AH$506,D21,Journal!$Z$7:$Z$506,"&gt;0")/COUNTIFS(Journal!$AH$7:$AH$506,D21,Journal!$Z$7:$Z$506,"&gt;0"))</f>
        <v/>
      </c>
      <c r="L21" s="0" t="n">
        <v>16</v>
      </c>
      <c r="M21" s="37" t="str">
        <f aca="false">IF(L21&gt;$B$6,"",INDEX(Journal!$P$7:$P$506,MATCH(L21,Journal!$AI$7:$AI$506,0)))</f>
        <v/>
      </c>
      <c r="N21" s="0" t="str">
        <f aca="false">IF(L21&gt;$B$6,"",INDEX(Journal!$A$7:$A$506,MATCH(L21,Journal!$AI$7:$AI$506,0)))</f>
        <v/>
      </c>
      <c r="O21" s="34" t="str">
        <f aca="false">IF(L21&gt;$B$6,"",INDEX(Journal!$AC$7:$AC$506,MATCH(L21,Journal!$AI$7:$AI$506,0)))</f>
        <v/>
      </c>
      <c r="P21" s="35" t="str">
        <f aca="false">IF(L21&gt;$B$6,"",INDEX(Journal!$AD$7:$AD$506,MATCH(L21,Journal!$AI$7:$AI$506,0)))</f>
        <v/>
      </c>
      <c r="Q21" s="34" t="n">
        <f aca="false">IF(L21&gt;$B$6,Q20,Q20+O21)</f>
        <v>20000</v>
      </c>
      <c r="R21" s="34" t="str">
        <f aca="false">IF(L21&gt;$B$6,"",Q21-MAX($Q$5:Q21))</f>
        <v/>
      </c>
    </row>
    <row r="22" customFormat="false" ht="15" hidden="false" customHeight="false" outlineLevel="0" collapsed="false">
      <c r="A22" s="30" t="s">
        <v>107</v>
      </c>
      <c r="B22" s="40" t="str">
        <f aca="false">IF(B6=0,"",B8/B6*N(B13)+B9/B6*N(B14))</f>
        <v/>
      </c>
      <c r="D22" s="43" t="str">
        <f aca="false">IF(D21="","",IF(EDATE(D21,1)&gt;MAX(Journal!$AH$7:$AH$506),"",EDATE(D21,1)))</f>
        <v/>
      </c>
      <c r="E22" s="32" t="str">
        <f aca="false">IF(D22="","",COUNTIFS(Journal!$AH$7:$AH$506,D22))</f>
        <v/>
      </c>
      <c r="F22" s="32" t="str">
        <f aca="false">IF(D22="","",COUNTIFS(Journal!$AH$7:$AH$506,D22,Journal!$AC$7:$AC$506,"&gt;0"))</f>
        <v/>
      </c>
      <c r="G22" s="33" t="str">
        <f aca="false">IF(N(E22)=0,"",F22/E22)</f>
        <v/>
      </c>
      <c r="H22" s="34" t="str">
        <f aca="false">IF(D22="","",SUMIFS(Journal!$AC$7:$AC$506,Journal!$AH$7:$AH$506,D22))</f>
        <v/>
      </c>
      <c r="I22" s="35" t="str">
        <f aca="false">IF(D22="","",SUMIFS(Journal!$AD$7:$AD$506,Journal!$AH$7:$AH$506,D22))</f>
        <v/>
      </c>
      <c r="J22" s="35" t="str">
        <f aca="false">IF(COUNTIFS(Journal!$AH$7:$AH$506,D22,Journal!$Z$7:$Z$506,"&gt;0")=0,"",SUMIFS(Journal!$AD$7:$AD$506,Journal!$AH$7:$AH$506,D22,Journal!$Z$7:$Z$506,"&gt;0")/COUNTIFS(Journal!$AH$7:$AH$506,D22,Journal!$Z$7:$Z$506,"&gt;0"))</f>
        <v/>
      </c>
      <c r="L22" s="0" t="n">
        <v>17</v>
      </c>
      <c r="M22" s="37" t="str">
        <f aca="false">IF(L22&gt;$B$6,"",INDEX(Journal!$P$7:$P$506,MATCH(L22,Journal!$AI$7:$AI$506,0)))</f>
        <v/>
      </c>
      <c r="N22" s="0" t="str">
        <f aca="false">IF(L22&gt;$B$6,"",INDEX(Journal!$A$7:$A$506,MATCH(L22,Journal!$AI$7:$AI$506,0)))</f>
        <v/>
      </c>
      <c r="O22" s="34" t="str">
        <f aca="false">IF(L22&gt;$B$6,"",INDEX(Journal!$AC$7:$AC$506,MATCH(L22,Journal!$AI$7:$AI$506,0)))</f>
        <v/>
      </c>
      <c r="P22" s="35" t="str">
        <f aca="false">IF(L22&gt;$B$6,"",INDEX(Journal!$AD$7:$AD$506,MATCH(L22,Journal!$AI$7:$AI$506,0)))</f>
        <v/>
      </c>
      <c r="Q22" s="34" t="n">
        <f aca="false">IF(L22&gt;$B$6,Q21,Q21+O22)</f>
        <v>20000</v>
      </c>
      <c r="R22" s="34" t="str">
        <f aca="false">IF(L22&gt;$B$6,"",Q22-MAX($Q$5:Q22))</f>
        <v/>
      </c>
    </row>
    <row r="23" customFormat="false" ht="15" hidden="false" customHeight="false" outlineLevel="0" collapsed="false">
      <c r="A23" s="30" t="s">
        <v>108</v>
      </c>
      <c r="B23" s="44" t="str">
        <f aca="false">IF(B6=0,"",AVERAGEIFS(Journal!$V$7:$V$506,Journal!$U$7:$U$506,"Closed"))</f>
        <v/>
      </c>
      <c r="D23" s="43" t="str">
        <f aca="false">IF(D22="","",IF(EDATE(D22,1)&gt;MAX(Journal!$AH$7:$AH$506),"",EDATE(D22,1)))</f>
        <v/>
      </c>
      <c r="E23" s="32" t="str">
        <f aca="false">IF(D23="","",COUNTIFS(Journal!$AH$7:$AH$506,D23))</f>
        <v/>
      </c>
      <c r="F23" s="32" t="str">
        <f aca="false">IF(D23="","",COUNTIFS(Journal!$AH$7:$AH$506,D23,Journal!$AC$7:$AC$506,"&gt;0"))</f>
        <v/>
      </c>
      <c r="G23" s="33" t="str">
        <f aca="false">IF(N(E23)=0,"",F23/E23)</f>
        <v/>
      </c>
      <c r="H23" s="34" t="str">
        <f aca="false">IF(D23="","",SUMIFS(Journal!$AC$7:$AC$506,Journal!$AH$7:$AH$506,D23))</f>
        <v/>
      </c>
      <c r="I23" s="35" t="str">
        <f aca="false">IF(D23="","",SUMIFS(Journal!$AD$7:$AD$506,Journal!$AH$7:$AH$506,D23))</f>
        <v/>
      </c>
      <c r="J23" s="35" t="str">
        <f aca="false">IF(COUNTIFS(Journal!$AH$7:$AH$506,D23,Journal!$Z$7:$Z$506,"&gt;0")=0,"",SUMIFS(Journal!$AD$7:$AD$506,Journal!$AH$7:$AH$506,D23,Journal!$Z$7:$Z$506,"&gt;0")/COUNTIFS(Journal!$AH$7:$AH$506,D23,Journal!$Z$7:$Z$506,"&gt;0"))</f>
        <v/>
      </c>
      <c r="L23" s="0" t="n">
        <v>18</v>
      </c>
      <c r="M23" s="37" t="str">
        <f aca="false">IF(L23&gt;$B$6,"",INDEX(Journal!$P$7:$P$506,MATCH(L23,Journal!$AI$7:$AI$506,0)))</f>
        <v/>
      </c>
      <c r="N23" s="0" t="str">
        <f aca="false">IF(L23&gt;$B$6,"",INDEX(Journal!$A$7:$A$506,MATCH(L23,Journal!$AI$7:$AI$506,0)))</f>
        <v/>
      </c>
      <c r="O23" s="34" t="str">
        <f aca="false">IF(L23&gt;$B$6,"",INDEX(Journal!$AC$7:$AC$506,MATCH(L23,Journal!$AI$7:$AI$506,0)))</f>
        <v/>
      </c>
      <c r="P23" s="35" t="str">
        <f aca="false">IF(L23&gt;$B$6,"",INDEX(Journal!$AD$7:$AD$506,MATCH(L23,Journal!$AI$7:$AI$506,0)))</f>
        <v/>
      </c>
      <c r="Q23" s="34" t="n">
        <f aca="false">IF(L23&gt;$B$6,Q22,Q22+O23)</f>
        <v>20000</v>
      </c>
      <c r="R23" s="34" t="str">
        <f aca="false">IF(L23&gt;$B$6,"",Q23-MAX($Q$5:Q23))</f>
        <v/>
      </c>
    </row>
    <row r="24" customFormat="false" ht="15" hidden="false" customHeight="false" outlineLevel="0" collapsed="false">
      <c r="A24" s="30" t="s">
        <v>109</v>
      </c>
      <c r="B24" s="44" t="str">
        <f aca="false">IF(B8=0,"",AVERAGEIFS(Journal!$V$7:$V$506,Journal!$U$7:$U$506,"Closed",Journal!$AC$7:$AC$506,"&gt;0"))</f>
        <v/>
      </c>
      <c r="D24" s="43" t="str">
        <f aca="false">IF(D23="","",IF(EDATE(D23,1)&gt;MAX(Journal!$AH$7:$AH$506),"",EDATE(D23,1)))</f>
        <v/>
      </c>
      <c r="E24" s="32" t="str">
        <f aca="false">IF(D24="","",COUNTIFS(Journal!$AH$7:$AH$506,D24))</f>
        <v/>
      </c>
      <c r="F24" s="32" t="str">
        <f aca="false">IF(D24="","",COUNTIFS(Journal!$AH$7:$AH$506,D24,Journal!$AC$7:$AC$506,"&gt;0"))</f>
        <v/>
      </c>
      <c r="G24" s="33" t="str">
        <f aca="false">IF(N(E24)=0,"",F24/E24)</f>
        <v/>
      </c>
      <c r="H24" s="34" t="str">
        <f aca="false">IF(D24="","",SUMIFS(Journal!$AC$7:$AC$506,Journal!$AH$7:$AH$506,D24))</f>
        <v/>
      </c>
      <c r="I24" s="35" t="str">
        <f aca="false">IF(D24="","",SUMIFS(Journal!$AD$7:$AD$506,Journal!$AH$7:$AH$506,D24))</f>
        <v/>
      </c>
      <c r="J24" s="35" t="str">
        <f aca="false">IF(COUNTIFS(Journal!$AH$7:$AH$506,D24,Journal!$Z$7:$Z$506,"&gt;0")=0,"",SUMIFS(Journal!$AD$7:$AD$506,Journal!$AH$7:$AH$506,D24,Journal!$Z$7:$Z$506,"&gt;0")/COUNTIFS(Journal!$AH$7:$AH$506,D24,Journal!$Z$7:$Z$506,"&gt;0"))</f>
        <v/>
      </c>
      <c r="L24" s="0" t="n">
        <v>19</v>
      </c>
      <c r="M24" s="37" t="str">
        <f aca="false">IF(L24&gt;$B$6,"",INDEX(Journal!$P$7:$P$506,MATCH(L24,Journal!$AI$7:$AI$506,0)))</f>
        <v/>
      </c>
      <c r="N24" s="0" t="str">
        <f aca="false">IF(L24&gt;$B$6,"",INDEX(Journal!$A$7:$A$506,MATCH(L24,Journal!$AI$7:$AI$506,0)))</f>
        <v/>
      </c>
      <c r="O24" s="34" t="str">
        <f aca="false">IF(L24&gt;$B$6,"",INDEX(Journal!$AC$7:$AC$506,MATCH(L24,Journal!$AI$7:$AI$506,0)))</f>
        <v/>
      </c>
      <c r="P24" s="35" t="str">
        <f aca="false">IF(L24&gt;$B$6,"",INDEX(Journal!$AD$7:$AD$506,MATCH(L24,Journal!$AI$7:$AI$506,0)))</f>
        <v/>
      </c>
      <c r="Q24" s="34" t="n">
        <f aca="false">IF(L24&gt;$B$6,Q23,Q23+O24)</f>
        <v>20000</v>
      </c>
      <c r="R24" s="34" t="str">
        <f aca="false">IF(L24&gt;$B$6,"",Q24-MAX($Q$5:Q24))</f>
        <v/>
      </c>
    </row>
    <row r="25" customFormat="false" ht="15" hidden="false" customHeight="false" outlineLevel="0" collapsed="false">
      <c r="A25" s="30" t="s">
        <v>110</v>
      </c>
      <c r="B25" s="44" t="str">
        <f aca="false">IF(B9=0,"",AVERAGEIFS(Journal!$V$7:$V$506,Journal!$U$7:$U$506,"Closed",Journal!$AC$7:$AC$506,"&lt;0"))</f>
        <v/>
      </c>
      <c r="D25" s="43" t="str">
        <f aca="false">IF(D24="","",IF(EDATE(D24,1)&gt;MAX(Journal!$AH$7:$AH$506),"",EDATE(D24,1)))</f>
        <v/>
      </c>
      <c r="E25" s="32" t="str">
        <f aca="false">IF(D25="","",COUNTIFS(Journal!$AH$7:$AH$506,D25))</f>
        <v/>
      </c>
      <c r="F25" s="32" t="str">
        <f aca="false">IF(D25="","",COUNTIFS(Journal!$AH$7:$AH$506,D25,Journal!$AC$7:$AC$506,"&gt;0"))</f>
        <v/>
      </c>
      <c r="G25" s="33" t="str">
        <f aca="false">IF(N(E25)=0,"",F25/E25)</f>
        <v/>
      </c>
      <c r="H25" s="34" t="str">
        <f aca="false">IF(D25="","",SUMIFS(Journal!$AC$7:$AC$506,Journal!$AH$7:$AH$506,D25))</f>
        <v/>
      </c>
      <c r="I25" s="35" t="str">
        <f aca="false">IF(D25="","",SUMIFS(Journal!$AD$7:$AD$506,Journal!$AH$7:$AH$506,D25))</f>
        <v/>
      </c>
      <c r="J25" s="35" t="str">
        <f aca="false">IF(COUNTIFS(Journal!$AH$7:$AH$506,D25,Journal!$Z$7:$Z$506,"&gt;0")=0,"",SUMIFS(Journal!$AD$7:$AD$506,Journal!$AH$7:$AH$506,D25,Journal!$Z$7:$Z$506,"&gt;0")/COUNTIFS(Journal!$AH$7:$AH$506,D25,Journal!$Z$7:$Z$506,"&gt;0"))</f>
        <v/>
      </c>
      <c r="L25" s="0" t="n">
        <v>20</v>
      </c>
      <c r="M25" s="37" t="str">
        <f aca="false">IF(L25&gt;$B$6,"",INDEX(Journal!$P$7:$P$506,MATCH(L25,Journal!$AI$7:$AI$506,0)))</f>
        <v/>
      </c>
      <c r="N25" s="0" t="str">
        <f aca="false">IF(L25&gt;$B$6,"",INDEX(Journal!$A$7:$A$506,MATCH(L25,Journal!$AI$7:$AI$506,0)))</f>
        <v/>
      </c>
      <c r="O25" s="34" t="str">
        <f aca="false">IF(L25&gt;$B$6,"",INDEX(Journal!$AC$7:$AC$506,MATCH(L25,Journal!$AI$7:$AI$506,0)))</f>
        <v/>
      </c>
      <c r="P25" s="35" t="str">
        <f aca="false">IF(L25&gt;$B$6,"",INDEX(Journal!$AD$7:$AD$506,MATCH(L25,Journal!$AI$7:$AI$506,0)))</f>
        <v/>
      </c>
      <c r="Q25" s="34" t="n">
        <f aca="false">IF(L25&gt;$B$6,Q24,Q24+O25)</f>
        <v>20000</v>
      </c>
      <c r="R25" s="34" t="str">
        <f aca="false">IF(L25&gt;$B$6,"",Q25-MAX($Q$5:Q25))</f>
        <v/>
      </c>
    </row>
    <row r="26" customFormat="false" ht="15" hidden="false" customHeight="false" outlineLevel="0" collapsed="false">
      <c r="A26" s="30" t="s">
        <v>111</v>
      </c>
      <c r="B26" s="38" t="n">
        <f aca="false">COUNTIFS(Journal!$U$7:$U$506,"Closed",Journal!$V$7:$V$506,0)</f>
        <v>0</v>
      </c>
      <c r="D26" s="43" t="str">
        <f aca="false">IF(D25="","",IF(EDATE(D25,1)&gt;MAX(Journal!$AH$7:$AH$506),"",EDATE(D25,1)))</f>
        <v/>
      </c>
      <c r="E26" s="32" t="str">
        <f aca="false">IF(D26="","",COUNTIFS(Journal!$AH$7:$AH$506,D26))</f>
        <v/>
      </c>
      <c r="F26" s="32" t="str">
        <f aca="false">IF(D26="","",COUNTIFS(Journal!$AH$7:$AH$506,D26,Journal!$AC$7:$AC$506,"&gt;0"))</f>
        <v/>
      </c>
      <c r="G26" s="33" t="str">
        <f aca="false">IF(N(E26)=0,"",F26/E26)</f>
        <v/>
      </c>
      <c r="H26" s="34" t="str">
        <f aca="false">IF(D26="","",SUMIFS(Journal!$AC$7:$AC$506,Journal!$AH$7:$AH$506,D26))</f>
        <v/>
      </c>
      <c r="I26" s="35" t="str">
        <f aca="false">IF(D26="","",SUMIFS(Journal!$AD$7:$AD$506,Journal!$AH$7:$AH$506,D26))</f>
        <v/>
      </c>
      <c r="J26" s="35" t="str">
        <f aca="false">IF(COUNTIFS(Journal!$AH$7:$AH$506,D26,Journal!$Z$7:$Z$506,"&gt;0")=0,"",SUMIFS(Journal!$AD$7:$AD$506,Journal!$AH$7:$AH$506,D26,Journal!$Z$7:$Z$506,"&gt;0")/COUNTIFS(Journal!$AH$7:$AH$506,D26,Journal!$Z$7:$Z$506,"&gt;0"))</f>
        <v/>
      </c>
      <c r="L26" s="0" t="n">
        <v>21</v>
      </c>
      <c r="M26" s="37" t="str">
        <f aca="false">IF(L26&gt;$B$6,"",INDEX(Journal!$P$7:$P$506,MATCH(L26,Journal!$AI$7:$AI$506,0)))</f>
        <v/>
      </c>
      <c r="N26" s="0" t="str">
        <f aca="false">IF(L26&gt;$B$6,"",INDEX(Journal!$A$7:$A$506,MATCH(L26,Journal!$AI$7:$AI$506,0)))</f>
        <v/>
      </c>
      <c r="O26" s="34" t="str">
        <f aca="false">IF(L26&gt;$B$6,"",INDEX(Journal!$AC$7:$AC$506,MATCH(L26,Journal!$AI$7:$AI$506,0)))</f>
        <v/>
      </c>
      <c r="P26" s="35" t="str">
        <f aca="false">IF(L26&gt;$B$6,"",INDEX(Journal!$AD$7:$AD$506,MATCH(L26,Journal!$AI$7:$AI$506,0)))</f>
        <v/>
      </c>
      <c r="Q26" s="34" t="n">
        <f aca="false">IF(L26&gt;$B$6,Q25,Q25+O26)</f>
        <v>20000</v>
      </c>
      <c r="R26" s="34" t="str">
        <f aca="false">IF(L26&gt;$B$6,"",Q26-MAX($Q$5:Q26))</f>
        <v/>
      </c>
    </row>
    <row r="27" customFormat="false" ht="15" hidden="false" customHeight="false" outlineLevel="0" collapsed="false">
      <c r="A27" s="30" t="s">
        <v>112</v>
      </c>
      <c r="B27" s="38" t="n">
        <f aca="false">COUNTIFS(Journal!$U$7:$U$506,"Closed",Journal!$X$7:$X$506,"Yes")</f>
        <v>0</v>
      </c>
      <c r="D27" s="43" t="str">
        <f aca="false">IF(D26="","",IF(EDATE(D26,1)&gt;MAX(Journal!$AH$7:$AH$506),"",EDATE(D26,1)))</f>
        <v/>
      </c>
      <c r="E27" s="32" t="str">
        <f aca="false">IF(D27="","",COUNTIFS(Journal!$AH$7:$AH$506,D27))</f>
        <v/>
      </c>
      <c r="F27" s="32" t="str">
        <f aca="false">IF(D27="","",COUNTIFS(Journal!$AH$7:$AH$506,D27,Journal!$AC$7:$AC$506,"&gt;0"))</f>
        <v/>
      </c>
      <c r="G27" s="33" t="str">
        <f aca="false">IF(N(E27)=0,"",F27/E27)</f>
        <v/>
      </c>
      <c r="H27" s="34" t="str">
        <f aca="false">IF(D27="","",SUMIFS(Journal!$AC$7:$AC$506,Journal!$AH$7:$AH$506,D27))</f>
        <v/>
      </c>
      <c r="I27" s="35" t="str">
        <f aca="false">IF(D27="","",SUMIFS(Journal!$AD$7:$AD$506,Journal!$AH$7:$AH$506,D27))</f>
        <v/>
      </c>
      <c r="J27" s="35" t="str">
        <f aca="false">IF(COUNTIFS(Journal!$AH$7:$AH$506,D27,Journal!$Z$7:$Z$506,"&gt;0")=0,"",SUMIFS(Journal!$AD$7:$AD$506,Journal!$AH$7:$AH$506,D27,Journal!$Z$7:$Z$506,"&gt;0")/COUNTIFS(Journal!$AH$7:$AH$506,D27,Journal!$Z$7:$Z$506,"&gt;0"))</f>
        <v/>
      </c>
      <c r="L27" s="0" t="n">
        <v>22</v>
      </c>
      <c r="M27" s="37" t="str">
        <f aca="false">IF(L27&gt;$B$6,"",INDEX(Journal!$P$7:$P$506,MATCH(L27,Journal!$AI$7:$AI$506,0)))</f>
        <v/>
      </c>
      <c r="N27" s="0" t="str">
        <f aca="false">IF(L27&gt;$B$6,"",INDEX(Journal!$A$7:$A$506,MATCH(L27,Journal!$AI$7:$AI$506,0)))</f>
        <v/>
      </c>
      <c r="O27" s="34" t="str">
        <f aca="false">IF(L27&gt;$B$6,"",INDEX(Journal!$AC$7:$AC$506,MATCH(L27,Journal!$AI$7:$AI$506,0)))</f>
        <v/>
      </c>
      <c r="P27" s="35" t="str">
        <f aca="false">IF(L27&gt;$B$6,"",INDEX(Journal!$AD$7:$AD$506,MATCH(L27,Journal!$AI$7:$AI$506,0)))</f>
        <v/>
      </c>
      <c r="Q27" s="34" t="n">
        <f aca="false">IF(L27&gt;$B$6,Q26,Q26+O27)</f>
        <v>20000</v>
      </c>
      <c r="R27" s="34" t="str">
        <f aca="false">IF(L27&gt;$B$6,"",Q27-MAX($Q$5:Q27))</f>
        <v/>
      </c>
    </row>
    <row r="28" customFormat="false" ht="15" hidden="false" customHeight="false" outlineLevel="0" collapsed="false">
      <c r="A28" s="30" t="s">
        <v>113</v>
      </c>
      <c r="B28" s="40" t="n">
        <f aca="false">SUMIFS(Journal!$AC$7:$AC$506,Journal!$U$7:$U$506,"Closed",Journal!$X$7:$X$506,"Yes")</f>
        <v>0</v>
      </c>
      <c r="D28" s="43" t="str">
        <f aca="false">IF(D27="","",IF(EDATE(D27,1)&gt;MAX(Journal!$AH$7:$AH$506),"",EDATE(D27,1)))</f>
        <v/>
      </c>
      <c r="E28" s="32" t="str">
        <f aca="false">IF(D28="","",COUNTIFS(Journal!$AH$7:$AH$506,D28))</f>
        <v/>
      </c>
      <c r="F28" s="32" t="str">
        <f aca="false">IF(D28="","",COUNTIFS(Journal!$AH$7:$AH$506,D28,Journal!$AC$7:$AC$506,"&gt;0"))</f>
        <v/>
      </c>
      <c r="G28" s="33" t="str">
        <f aca="false">IF(N(E28)=0,"",F28/E28)</f>
        <v/>
      </c>
      <c r="H28" s="34" t="str">
        <f aca="false">IF(D28="","",SUMIFS(Journal!$AC$7:$AC$506,Journal!$AH$7:$AH$506,D28))</f>
        <v/>
      </c>
      <c r="I28" s="35" t="str">
        <f aca="false">IF(D28="","",SUMIFS(Journal!$AD$7:$AD$506,Journal!$AH$7:$AH$506,D28))</f>
        <v/>
      </c>
      <c r="J28" s="35" t="str">
        <f aca="false">IF(COUNTIFS(Journal!$AH$7:$AH$506,D28,Journal!$Z$7:$Z$506,"&gt;0")=0,"",SUMIFS(Journal!$AD$7:$AD$506,Journal!$AH$7:$AH$506,D28,Journal!$Z$7:$Z$506,"&gt;0")/COUNTIFS(Journal!$AH$7:$AH$506,D28,Journal!$Z$7:$Z$506,"&gt;0"))</f>
        <v/>
      </c>
      <c r="L28" s="0" t="n">
        <v>23</v>
      </c>
      <c r="M28" s="37" t="str">
        <f aca="false">IF(L28&gt;$B$6,"",INDEX(Journal!$P$7:$P$506,MATCH(L28,Journal!$AI$7:$AI$506,0)))</f>
        <v/>
      </c>
      <c r="N28" s="0" t="str">
        <f aca="false">IF(L28&gt;$B$6,"",INDEX(Journal!$A$7:$A$506,MATCH(L28,Journal!$AI$7:$AI$506,0)))</f>
        <v/>
      </c>
      <c r="O28" s="34" t="str">
        <f aca="false">IF(L28&gt;$B$6,"",INDEX(Journal!$AC$7:$AC$506,MATCH(L28,Journal!$AI$7:$AI$506,0)))</f>
        <v/>
      </c>
      <c r="P28" s="35" t="str">
        <f aca="false">IF(L28&gt;$B$6,"",INDEX(Journal!$AD$7:$AD$506,MATCH(L28,Journal!$AI$7:$AI$506,0)))</f>
        <v/>
      </c>
      <c r="Q28" s="34" t="n">
        <f aca="false">IF(L28&gt;$B$6,Q27,Q27+O28)</f>
        <v>20000</v>
      </c>
      <c r="R28" s="34" t="str">
        <f aca="false">IF(L28&gt;$B$6,"",Q28-MAX($Q$5:Q28))</f>
        <v/>
      </c>
    </row>
    <row r="29" customFormat="false" ht="15" hidden="false" customHeight="false" outlineLevel="0" collapsed="false">
      <c r="A29" s="30" t="s">
        <v>114</v>
      </c>
      <c r="B29" s="42" t="str">
        <f aca="false">IFERROR(AVERAGEIFS(Journal!$AE$7:$AE$506,Journal!$U$7:$U$506,"Closed"),"")</f>
        <v/>
      </c>
      <c r="D29" s="43" t="str">
        <f aca="false">IF(D28="","",IF(EDATE(D28,1)&gt;MAX(Journal!$AH$7:$AH$506),"",EDATE(D28,1)))</f>
        <v/>
      </c>
      <c r="E29" s="32" t="str">
        <f aca="false">IF(D29="","",COUNTIFS(Journal!$AH$7:$AH$506,D29))</f>
        <v/>
      </c>
      <c r="F29" s="32" t="str">
        <f aca="false">IF(D29="","",COUNTIFS(Journal!$AH$7:$AH$506,D29,Journal!$AC$7:$AC$506,"&gt;0"))</f>
        <v/>
      </c>
      <c r="G29" s="33" t="str">
        <f aca="false">IF(N(E29)=0,"",F29/E29)</f>
        <v/>
      </c>
      <c r="H29" s="34" t="str">
        <f aca="false">IF(D29="","",SUMIFS(Journal!$AC$7:$AC$506,Journal!$AH$7:$AH$506,D29))</f>
        <v/>
      </c>
      <c r="I29" s="35" t="str">
        <f aca="false">IF(D29="","",SUMIFS(Journal!$AD$7:$AD$506,Journal!$AH$7:$AH$506,D29))</f>
        <v/>
      </c>
      <c r="J29" s="35" t="str">
        <f aca="false">IF(COUNTIFS(Journal!$AH$7:$AH$506,D29,Journal!$Z$7:$Z$506,"&gt;0")=0,"",SUMIFS(Journal!$AD$7:$AD$506,Journal!$AH$7:$AH$506,D29,Journal!$Z$7:$Z$506,"&gt;0")/COUNTIFS(Journal!$AH$7:$AH$506,D29,Journal!$Z$7:$Z$506,"&gt;0"))</f>
        <v/>
      </c>
      <c r="L29" s="0" t="n">
        <v>24</v>
      </c>
      <c r="M29" s="37" t="str">
        <f aca="false">IF(L29&gt;$B$6,"",INDEX(Journal!$P$7:$P$506,MATCH(L29,Journal!$AI$7:$AI$506,0)))</f>
        <v/>
      </c>
      <c r="N29" s="0" t="str">
        <f aca="false">IF(L29&gt;$B$6,"",INDEX(Journal!$A$7:$A$506,MATCH(L29,Journal!$AI$7:$AI$506,0)))</f>
        <v/>
      </c>
      <c r="O29" s="34" t="str">
        <f aca="false">IF(L29&gt;$B$6,"",INDEX(Journal!$AC$7:$AC$506,MATCH(L29,Journal!$AI$7:$AI$506,0)))</f>
        <v/>
      </c>
      <c r="P29" s="35" t="str">
        <f aca="false">IF(L29&gt;$B$6,"",INDEX(Journal!$AD$7:$AD$506,MATCH(L29,Journal!$AI$7:$AI$506,0)))</f>
        <v/>
      </c>
      <c r="Q29" s="34" t="n">
        <f aca="false">IF(L29&gt;$B$6,Q28,Q28+O29)</f>
        <v>20000</v>
      </c>
      <c r="R29" s="34" t="str">
        <f aca="false">IF(L29&gt;$B$6,"",Q29-MAX($Q$5:Q29))</f>
        <v/>
      </c>
    </row>
    <row r="30" customFormat="false" ht="15" hidden="false" customHeight="false" outlineLevel="0" collapsed="false">
      <c r="A30" s="30" t="s">
        <v>115</v>
      </c>
      <c r="B30" s="42" t="str">
        <f aca="false">IFERROR(AVERAGEIFS(Journal!$AF$7:$AF$506,Journal!$U$7:$U$506,"Closed"),"")</f>
        <v/>
      </c>
      <c r="D30" s="43" t="str">
        <f aca="false">IF(D29="","",IF(EDATE(D29,1)&gt;MAX(Journal!$AH$7:$AH$506),"",EDATE(D29,1)))</f>
        <v/>
      </c>
      <c r="E30" s="32" t="str">
        <f aca="false">IF(D30="","",COUNTIFS(Journal!$AH$7:$AH$506,D30))</f>
        <v/>
      </c>
      <c r="F30" s="32" t="str">
        <f aca="false">IF(D30="","",COUNTIFS(Journal!$AH$7:$AH$506,D30,Journal!$AC$7:$AC$506,"&gt;0"))</f>
        <v/>
      </c>
      <c r="G30" s="33" t="str">
        <f aca="false">IF(N(E30)=0,"",F30/E30)</f>
        <v/>
      </c>
      <c r="H30" s="34" t="str">
        <f aca="false">IF(D30="","",SUMIFS(Journal!$AC$7:$AC$506,Journal!$AH$7:$AH$506,D30))</f>
        <v/>
      </c>
      <c r="I30" s="35" t="str">
        <f aca="false">IF(D30="","",SUMIFS(Journal!$AD$7:$AD$506,Journal!$AH$7:$AH$506,D30))</f>
        <v/>
      </c>
      <c r="J30" s="35" t="str">
        <f aca="false">IF(COUNTIFS(Journal!$AH$7:$AH$506,D30,Journal!$Z$7:$Z$506,"&gt;0")=0,"",SUMIFS(Journal!$AD$7:$AD$506,Journal!$AH$7:$AH$506,D30,Journal!$Z$7:$Z$506,"&gt;0")/COUNTIFS(Journal!$AH$7:$AH$506,D30,Journal!$Z$7:$Z$506,"&gt;0"))</f>
        <v/>
      </c>
      <c r="L30" s="0" t="n">
        <v>25</v>
      </c>
      <c r="M30" s="37" t="str">
        <f aca="false">IF(L30&gt;$B$6,"",INDEX(Journal!$P$7:$P$506,MATCH(L30,Journal!$AI$7:$AI$506,0)))</f>
        <v/>
      </c>
      <c r="N30" s="0" t="str">
        <f aca="false">IF(L30&gt;$B$6,"",INDEX(Journal!$A$7:$A$506,MATCH(L30,Journal!$AI$7:$AI$506,0)))</f>
        <v/>
      </c>
      <c r="O30" s="34" t="str">
        <f aca="false">IF(L30&gt;$B$6,"",INDEX(Journal!$AC$7:$AC$506,MATCH(L30,Journal!$AI$7:$AI$506,0)))</f>
        <v/>
      </c>
      <c r="P30" s="35" t="str">
        <f aca="false">IF(L30&gt;$B$6,"",INDEX(Journal!$AD$7:$AD$506,MATCH(L30,Journal!$AI$7:$AI$506,0)))</f>
        <v/>
      </c>
      <c r="Q30" s="34" t="n">
        <f aca="false">IF(L30&gt;$B$6,Q29,Q29+O30)</f>
        <v>20000</v>
      </c>
      <c r="R30" s="34" t="str">
        <f aca="false">IF(L30&gt;$B$6,"",Q30-MAX($Q$5:Q30))</f>
        <v/>
      </c>
    </row>
    <row r="31" customFormat="false" ht="15" hidden="false" customHeight="false" outlineLevel="0" collapsed="false">
      <c r="A31" s="30" t="s">
        <v>116</v>
      </c>
      <c r="B31" s="31" t="str">
        <f aca="false">IF(B8=0,"",MAX(Journal!$AC$7:$AC$506))</f>
        <v/>
      </c>
      <c r="D31" s="43" t="str">
        <f aca="false">IF(D30="","",IF(EDATE(D30,1)&gt;MAX(Journal!$AH$7:$AH$506),"",EDATE(D30,1)))</f>
        <v/>
      </c>
      <c r="E31" s="32" t="str">
        <f aca="false">IF(D31="","",COUNTIFS(Journal!$AH$7:$AH$506,D31))</f>
        <v/>
      </c>
      <c r="F31" s="32" t="str">
        <f aca="false">IF(D31="","",COUNTIFS(Journal!$AH$7:$AH$506,D31,Journal!$AC$7:$AC$506,"&gt;0"))</f>
        <v/>
      </c>
      <c r="G31" s="33" t="str">
        <f aca="false">IF(N(E31)=0,"",F31/E31)</f>
        <v/>
      </c>
      <c r="H31" s="34" t="str">
        <f aca="false">IF(D31="","",SUMIFS(Journal!$AC$7:$AC$506,Journal!$AH$7:$AH$506,D31))</f>
        <v/>
      </c>
      <c r="I31" s="35" t="str">
        <f aca="false">IF(D31="","",SUMIFS(Journal!$AD$7:$AD$506,Journal!$AH$7:$AH$506,D31))</f>
        <v/>
      </c>
      <c r="J31" s="35" t="str">
        <f aca="false">IF(COUNTIFS(Journal!$AH$7:$AH$506,D31,Journal!$Z$7:$Z$506,"&gt;0")=0,"",SUMIFS(Journal!$AD$7:$AD$506,Journal!$AH$7:$AH$506,D31,Journal!$Z$7:$Z$506,"&gt;0")/COUNTIFS(Journal!$AH$7:$AH$506,D31,Journal!$Z$7:$Z$506,"&gt;0"))</f>
        <v/>
      </c>
      <c r="L31" s="0" t="n">
        <v>26</v>
      </c>
      <c r="M31" s="37" t="str">
        <f aca="false">IF(L31&gt;$B$6,"",INDEX(Journal!$P$7:$P$506,MATCH(L31,Journal!$AI$7:$AI$506,0)))</f>
        <v/>
      </c>
      <c r="N31" s="0" t="str">
        <f aca="false">IF(L31&gt;$B$6,"",INDEX(Journal!$A$7:$A$506,MATCH(L31,Journal!$AI$7:$AI$506,0)))</f>
        <v/>
      </c>
      <c r="O31" s="34" t="str">
        <f aca="false">IF(L31&gt;$B$6,"",INDEX(Journal!$AC$7:$AC$506,MATCH(L31,Journal!$AI$7:$AI$506,0)))</f>
        <v/>
      </c>
      <c r="P31" s="35" t="str">
        <f aca="false">IF(L31&gt;$B$6,"",INDEX(Journal!$AD$7:$AD$506,MATCH(L31,Journal!$AI$7:$AI$506,0)))</f>
        <v/>
      </c>
      <c r="Q31" s="34" t="n">
        <f aca="false">IF(L31&gt;$B$6,Q30,Q30+O31)</f>
        <v>20000</v>
      </c>
      <c r="R31" s="34" t="str">
        <f aca="false">IF(L31&gt;$B$6,"",Q31-MAX($Q$5:Q31))</f>
        <v/>
      </c>
    </row>
    <row r="32" customFormat="false" ht="15" hidden="false" customHeight="false" outlineLevel="0" collapsed="false">
      <c r="A32" s="30" t="s">
        <v>117</v>
      </c>
      <c r="B32" s="40" t="str">
        <f aca="false">IF(B9=0,"",MIN(Journal!$AC$7:$AC$506))</f>
        <v/>
      </c>
      <c r="D32" s="43" t="str">
        <f aca="false">IF(D31="","",IF(EDATE(D31,1)&gt;MAX(Journal!$AH$7:$AH$506),"",EDATE(D31,1)))</f>
        <v/>
      </c>
      <c r="E32" s="32" t="str">
        <f aca="false">IF(D32="","",COUNTIFS(Journal!$AH$7:$AH$506,D32))</f>
        <v/>
      </c>
      <c r="F32" s="32" t="str">
        <f aca="false">IF(D32="","",COUNTIFS(Journal!$AH$7:$AH$506,D32,Journal!$AC$7:$AC$506,"&gt;0"))</f>
        <v/>
      </c>
      <c r="G32" s="33" t="str">
        <f aca="false">IF(N(E32)=0,"",F32/E32)</f>
        <v/>
      </c>
      <c r="H32" s="34" t="str">
        <f aca="false">IF(D32="","",SUMIFS(Journal!$AC$7:$AC$506,Journal!$AH$7:$AH$506,D32))</f>
        <v/>
      </c>
      <c r="I32" s="35" t="str">
        <f aca="false">IF(D32="","",SUMIFS(Journal!$AD$7:$AD$506,Journal!$AH$7:$AH$506,D32))</f>
        <v/>
      </c>
      <c r="J32" s="35" t="str">
        <f aca="false">IF(COUNTIFS(Journal!$AH$7:$AH$506,D32,Journal!$Z$7:$Z$506,"&gt;0")=0,"",SUMIFS(Journal!$AD$7:$AD$506,Journal!$AH$7:$AH$506,D32,Journal!$Z$7:$Z$506,"&gt;0")/COUNTIFS(Journal!$AH$7:$AH$506,D32,Journal!$Z$7:$Z$506,"&gt;0"))</f>
        <v/>
      </c>
      <c r="L32" s="0" t="n">
        <v>27</v>
      </c>
      <c r="M32" s="37" t="str">
        <f aca="false">IF(L32&gt;$B$6,"",INDEX(Journal!$P$7:$P$506,MATCH(L32,Journal!$AI$7:$AI$506,0)))</f>
        <v/>
      </c>
      <c r="N32" s="0" t="str">
        <f aca="false">IF(L32&gt;$B$6,"",INDEX(Journal!$A$7:$A$506,MATCH(L32,Journal!$AI$7:$AI$506,0)))</f>
        <v/>
      </c>
      <c r="O32" s="34" t="str">
        <f aca="false">IF(L32&gt;$B$6,"",INDEX(Journal!$AC$7:$AC$506,MATCH(L32,Journal!$AI$7:$AI$506,0)))</f>
        <v/>
      </c>
      <c r="P32" s="35" t="str">
        <f aca="false">IF(L32&gt;$B$6,"",INDEX(Journal!$AD$7:$AD$506,MATCH(L32,Journal!$AI$7:$AI$506,0)))</f>
        <v/>
      </c>
      <c r="Q32" s="34" t="n">
        <f aca="false">IF(L32&gt;$B$6,Q31,Q31+O32)</f>
        <v>20000</v>
      </c>
      <c r="R32" s="34" t="str">
        <f aca="false">IF(L32&gt;$B$6,"",Q32-MAX($Q$5:Q32))</f>
        <v/>
      </c>
    </row>
    <row r="33" customFormat="false" ht="15" hidden="false" customHeight="false" outlineLevel="0" collapsed="false">
      <c r="A33" s="30" t="s">
        <v>118</v>
      </c>
      <c r="B33" s="40" t="str">
        <f aca="false">IF(B6=0,"",MIN(R6:R505))</f>
        <v/>
      </c>
      <c r="D33" s="43" t="str">
        <f aca="false">IF(D32="","",IF(EDATE(D32,1)&gt;MAX(Journal!$AH$7:$AH$506),"",EDATE(D32,1)))</f>
        <v/>
      </c>
      <c r="E33" s="32" t="str">
        <f aca="false">IF(D33="","",COUNTIFS(Journal!$AH$7:$AH$506,D33))</f>
        <v/>
      </c>
      <c r="F33" s="32" t="str">
        <f aca="false">IF(D33="","",COUNTIFS(Journal!$AH$7:$AH$506,D33,Journal!$AC$7:$AC$506,"&gt;0"))</f>
        <v/>
      </c>
      <c r="G33" s="33" t="str">
        <f aca="false">IF(N(E33)=0,"",F33/E33)</f>
        <v/>
      </c>
      <c r="H33" s="34" t="str">
        <f aca="false">IF(D33="","",SUMIFS(Journal!$AC$7:$AC$506,Journal!$AH$7:$AH$506,D33))</f>
        <v/>
      </c>
      <c r="I33" s="35" t="str">
        <f aca="false">IF(D33="","",SUMIFS(Journal!$AD$7:$AD$506,Journal!$AH$7:$AH$506,D33))</f>
        <v/>
      </c>
      <c r="J33" s="35" t="str">
        <f aca="false">IF(COUNTIFS(Journal!$AH$7:$AH$506,D33,Journal!$Z$7:$Z$506,"&gt;0")=0,"",SUMIFS(Journal!$AD$7:$AD$506,Journal!$AH$7:$AH$506,D33,Journal!$Z$7:$Z$506,"&gt;0")/COUNTIFS(Journal!$AH$7:$AH$506,D33,Journal!$Z$7:$Z$506,"&gt;0"))</f>
        <v/>
      </c>
      <c r="L33" s="0" t="n">
        <v>28</v>
      </c>
      <c r="M33" s="37" t="str">
        <f aca="false">IF(L33&gt;$B$6,"",INDEX(Journal!$P$7:$P$506,MATCH(L33,Journal!$AI$7:$AI$506,0)))</f>
        <v/>
      </c>
      <c r="N33" s="0" t="str">
        <f aca="false">IF(L33&gt;$B$6,"",INDEX(Journal!$A$7:$A$506,MATCH(L33,Journal!$AI$7:$AI$506,0)))</f>
        <v/>
      </c>
      <c r="O33" s="34" t="str">
        <f aca="false">IF(L33&gt;$B$6,"",INDEX(Journal!$AC$7:$AC$506,MATCH(L33,Journal!$AI$7:$AI$506,0)))</f>
        <v/>
      </c>
      <c r="P33" s="35" t="str">
        <f aca="false">IF(L33&gt;$B$6,"",INDEX(Journal!$AD$7:$AD$506,MATCH(L33,Journal!$AI$7:$AI$506,0)))</f>
        <v/>
      </c>
      <c r="Q33" s="34" t="n">
        <f aca="false">IF(L33&gt;$B$6,Q32,Q32+O33)</f>
        <v>20000</v>
      </c>
      <c r="R33" s="34" t="str">
        <f aca="false">IF(L33&gt;$B$6,"",Q33-MAX($Q$5:Q33))</f>
        <v/>
      </c>
    </row>
    <row r="34" customFormat="false" ht="15" hidden="false" customHeight="false" outlineLevel="0" collapsed="false">
      <c r="A34" s="30" t="s">
        <v>119</v>
      </c>
      <c r="B34" s="31" t="n">
        <f aca="false">N(B5)+B11</f>
        <v>20000</v>
      </c>
      <c r="D34" s="43" t="str">
        <f aca="false">IF(D33="","",IF(EDATE(D33,1)&gt;MAX(Journal!$AH$7:$AH$506),"",EDATE(D33,1)))</f>
        <v/>
      </c>
      <c r="E34" s="32" t="str">
        <f aca="false">IF(D34="","",COUNTIFS(Journal!$AH$7:$AH$506,D34))</f>
        <v/>
      </c>
      <c r="F34" s="32" t="str">
        <f aca="false">IF(D34="","",COUNTIFS(Journal!$AH$7:$AH$506,D34,Journal!$AC$7:$AC$506,"&gt;0"))</f>
        <v/>
      </c>
      <c r="G34" s="33" t="str">
        <f aca="false">IF(N(E34)=0,"",F34/E34)</f>
        <v/>
      </c>
      <c r="H34" s="34" t="str">
        <f aca="false">IF(D34="","",SUMIFS(Journal!$AC$7:$AC$506,Journal!$AH$7:$AH$506,D34))</f>
        <v/>
      </c>
      <c r="I34" s="35" t="str">
        <f aca="false">IF(D34="","",SUMIFS(Journal!$AD$7:$AD$506,Journal!$AH$7:$AH$506,D34))</f>
        <v/>
      </c>
      <c r="J34" s="35" t="str">
        <f aca="false">IF(COUNTIFS(Journal!$AH$7:$AH$506,D34,Journal!$Z$7:$Z$506,"&gt;0")=0,"",SUMIFS(Journal!$AD$7:$AD$506,Journal!$AH$7:$AH$506,D34,Journal!$Z$7:$Z$506,"&gt;0")/COUNTIFS(Journal!$AH$7:$AH$506,D34,Journal!$Z$7:$Z$506,"&gt;0"))</f>
        <v/>
      </c>
      <c r="L34" s="0" t="n">
        <v>29</v>
      </c>
      <c r="M34" s="37" t="str">
        <f aca="false">IF(L34&gt;$B$6,"",INDEX(Journal!$P$7:$P$506,MATCH(L34,Journal!$AI$7:$AI$506,0)))</f>
        <v/>
      </c>
      <c r="N34" s="0" t="str">
        <f aca="false">IF(L34&gt;$B$6,"",INDEX(Journal!$A$7:$A$506,MATCH(L34,Journal!$AI$7:$AI$506,0)))</f>
        <v/>
      </c>
      <c r="O34" s="34" t="str">
        <f aca="false">IF(L34&gt;$B$6,"",INDEX(Journal!$AC$7:$AC$506,MATCH(L34,Journal!$AI$7:$AI$506,0)))</f>
        <v/>
      </c>
      <c r="P34" s="35" t="str">
        <f aca="false">IF(L34&gt;$B$6,"",INDEX(Journal!$AD$7:$AD$506,MATCH(L34,Journal!$AI$7:$AI$506,0)))</f>
        <v/>
      </c>
      <c r="Q34" s="34" t="n">
        <f aca="false">IF(L34&gt;$B$6,Q33,Q33+O34)</f>
        <v>20000</v>
      </c>
      <c r="R34" s="34" t="str">
        <f aca="false">IF(L34&gt;$B$6,"",Q34-MAX($Q$5:Q34))</f>
        <v/>
      </c>
    </row>
    <row r="35" customFormat="false" ht="15" hidden="false" customHeight="false" outlineLevel="0" collapsed="false">
      <c r="A35" s="30" t="s">
        <v>120</v>
      </c>
      <c r="B35" s="45" t="n">
        <f aca="false">IF(N(B5)=0,"",B11/B5)</f>
        <v>0</v>
      </c>
      <c r="D35" s="43" t="str">
        <f aca="false">IF(D34="","",IF(EDATE(D34,1)&gt;MAX(Journal!$AH$7:$AH$506),"",EDATE(D34,1)))</f>
        <v/>
      </c>
      <c r="E35" s="32" t="str">
        <f aca="false">IF(D35="","",COUNTIFS(Journal!$AH$7:$AH$506,D35))</f>
        <v/>
      </c>
      <c r="F35" s="32" t="str">
        <f aca="false">IF(D35="","",COUNTIFS(Journal!$AH$7:$AH$506,D35,Journal!$AC$7:$AC$506,"&gt;0"))</f>
        <v/>
      </c>
      <c r="G35" s="33" t="str">
        <f aca="false">IF(N(E35)=0,"",F35/E35)</f>
        <v/>
      </c>
      <c r="H35" s="34" t="str">
        <f aca="false">IF(D35="","",SUMIFS(Journal!$AC$7:$AC$506,Journal!$AH$7:$AH$506,D35))</f>
        <v/>
      </c>
      <c r="I35" s="35" t="str">
        <f aca="false">IF(D35="","",SUMIFS(Journal!$AD$7:$AD$506,Journal!$AH$7:$AH$506,D35))</f>
        <v/>
      </c>
      <c r="J35" s="35" t="str">
        <f aca="false">IF(COUNTIFS(Journal!$AH$7:$AH$506,D35,Journal!$Z$7:$Z$506,"&gt;0")=0,"",SUMIFS(Journal!$AD$7:$AD$506,Journal!$AH$7:$AH$506,D35,Journal!$Z$7:$Z$506,"&gt;0")/COUNTIFS(Journal!$AH$7:$AH$506,D35,Journal!$Z$7:$Z$506,"&gt;0"))</f>
        <v/>
      </c>
      <c r="L35" s="0" t="n">
        <v>30</v>
      </c>
      <c r="M35" s="37" t="str">
        <f aca="false">IF(L35&gt;$B$6,"",INDEX(Journal!$P$7:$P$506,MATCH(L35,Journal!$AI$7:$AI$506,0)))</f>
        <v/>
      </c>
      <c r="N35" s="0" t="str">
        <f aca="false">IF(L35&gt;$B$6,"",INDEX(Journal!$A$7:$A$506,MATCH(L35,Journal!$AI$7:$AI$506,0)))</f>
        <v/>
      </c>
      <c r="O35" s="34" t="str">
        <f aca="false">IF(L35&gt;$B$6,"",INDEX(Journal!$AC$7:$AC$506,MATCH(L35,Journal!$AI$7:$AI$506,0)))</f>
        <v/>
      </c>
      <c r="P35" s="35" t="str">
        <f aca="false">IF(L35&gt;$B$6,"",INDEX(Journal!$AD$7:$AD$506,MATCH(L35,Journal!$AI$7:$AI$506,0)))</f>
        <v/>
      </c>
      <c r="Q35" s="34" t="n">
        <f aca="false">IF(L35&gt;$B$6,Q34,Q34+O35)</f>
        <v>20000</v>
      </c>
      <c r="R35" s="34" t="str">
        <f aca="false">IF(L35&gt;$B$6,"",Q35-MAX($Q$5:Q35))</f>
        <v/>
      </c>
    </row>
    <row r="36" customFormat="false" ht="15" hidden="false" customHeight="false" outlineLevel="0" collapsed="false">
      <c r="A36" s="30" t="s">
        <v>121</v>
      </c>
      <c r="B36" s="31" t="n">
        <f aca="false">SUM(Journal!$AG$7:$AG$506)</f>
        <v>0</v>
      </c>
      <c r="D36" s="43" t="str">
        <f aca="false">IF(D35="","",IF(EDATE(D35,1)&gt;MAX(Journal!$AH$7:$AH$506),"",EDATE(D35,1)))</f>
        <v/>
      </c>
      <c r="E36" s="32" t="str">
        <f aca="false">IF(D36="","",COUNTIFS(Journal!$AH$7:$AH$506,D36))</f>
        <v/>
      </c>
      <c r="F36" s="32" t="str">
        <f aca="false">IF(D36="","",COUNTIFS(Journal!$AH$7:$AH$506,D36,Journal!$AC$7:$AC$506,"&gt;0"))</f>
        <v/>
      </c>
      <c r="G36" s="33" t="str">
        <f aca="false">IF(N(E36)=0,"",F36/E36)</f>
        <v/>
      </c>
      <c r="H36" s="34" t="str">
        <f aca="false">IF(D36="","",SUMIFS(Journal!$AC$7:$AC$506,Journal!$AH$7:$AH$506,D36))</f>
        <v/>
      </c>
      <c r="I36" s="35" t="str">
        <f aca="false">IF(D36="","",SUMIFS(Journal!$AD$7:$AD$506,Journal!$AH$7:$AH$506,D36))</f>
        <v/>
      </c>
      <c r="J36" s="35" t="str">
        <f aca="false">IF(COUNTIFS(Journal!$AH$7:$AH$506,D36,Journal!$Z$7:$Z$506,"&gt;0")=0,"",SUMIFS(Journal!$AD$7:$AD$506,Journal!$AH$7:$AH$506,D36,Journal!$Z$7:$Z$506,"&gt;0")/COUNTIFS(Journal!$AH$7:$AH$506,D36,Journal!$Z$7:$Z$506,"&gt;0"))</f>
        <v/>
      </c>
      <c r="L36" s="0" t="n">
        <v>31</v>
      </c>
      <c r="M36" s="37" t="str">
        <f aca="false">IF(L36&gt;$B$6,"",INDEX(Journal!$P$7:$P$506,MATCH(L36,Journal!$AI$7:$AI$506,0)))</f>
        <v/>
      </c>
      <c r="N36" s="0" t="str">
        <f aca="false">IF(L36&gt;$B$6,"",INDEX(Journal!$A$7:$A$506,MATCH(L36,Journal!$AI$7:$AI$506,0)))</f>
        <v/>
      </c>
      <c r="O36" s="34" t="str">
        <f aca="false">IF(L36&gt;$B$6,"",INDEX(Journal!$AC$7:$AC$506,MATCH(L36,Journal!$AI$7:$AI$506,0)))</f>
        <v/>
      </c>
      <c r="P36" s="35" t="str">
        <f aca="false">IF(L36&gt;$B$6,"",INDEX(Journal!$AD$7:$AD$506,MATCH(L36,Journal!$AI$7:$AI$506,0)))</f>
        <v/>
      </c>
      <c r="Q36" s="34" t="n">
        <f aca="false">IF(L36&gt;$B$6,Q35,Q35+O36)</f>
        <v>20000</v>
      </c>
      <c r="R36" s="34" t="str">
        <f aca="false">IF(L36&gt;$B$6,"",Q36-MAX($Q$5:Q36))</f>
        <v/>
      </c>
    </row>
    <row r="37" customFormat="false" ht="15" hidden="false" customHeight="false" outlineLevel="0" collapsed="false">
      <c r="A37" s="30" t="s">
        <v>122</v>
      </c>
      <c r="B37" s="46" t="n">
        <f aca="false">IF(N(B34)&lt;=0,"",B36/B34)</f>
        <v>0</v>
      </c>
      <c r="D37" s="43" t="str">
        <f aca="false">IF(D36="","",IF(EDATE(D36,1)&gt;MAX(Journal!$AH$7:$AH$506),"",EDATE(D36,1)))</f>
        <v/>
      </c>
      <c r="E37" s="32" t="str">
        <f aca="false">IF(D37="","",COUNTIFS(Journal!$AH$7:$AH$506,D37))</f>
        <v/>
      </c>
      <c r="F37" s="32" t="str">
        <f aca="false">IF(D37="","",COUNTIFS(Journal!$AH$7:$AH$506,D37,Journal!$AC$7:$AC$506,"&gt;0"))</f>
        <v/>
      </c>
      <c r="G37" s="33" t="str">
        <f aca="false">IF(N(E37)=0,"",F37/E37)</f>
        <v/>
      </c>
      <c r="H37" s="34" t="str">
        <f aca="false">IF(D37="","",SUMIFS(Journal!$AC$7:$AC$506,Journal!$AH$7:$AH$506,D37))</f>
        <v/>
      </c>
      <c r="I37" s="35" t="str">
        <f aca="false">IF(D37="","",SUMIFS(Journal!$AD$7:$AD$506,Journal!$AH$7:$AH$506,D37))</f>
        <v/>
      </c>
      <c r="J37" s="35" t="str">
        <f aca="false">IF(COUNTIFS(Journal!$AH$7:$AH$506,D37,Journal!$Z$7:$Z$506,"&gt;0")=0,"",SUMIFS(Journal!$AD$7:$AD$506,Journal!$AH$7:$AH$506,D37,Journal!$Z$7:$Z$506,"&gt;0")/COUNTIFS(Journal!$AH$7:$AH$506,D37,Journal!$Z$7:$Z$506,"&gt;0"))</f>
        <v/>
      </c>
      <c r="L37" s="0" t="n">
        <v>32</v>
      </c>
      <c r="M37" s="37" t="str">
        <f aca="false">IF(L37&gt;$B$6,"",INDEX(Journal!$P$7:$P$506,MATCH(L37,Journal!$AI$7:$AI$506,0)))</f>
        <v/>
      </c>
      <c r="N37" s="0" t="str">
        <f aca="false">IF(L37&gt;$B$6,"",INDEX(Journal!$A$7:$A$506,MATCH(L37,Journal!$AI$7:$AI$506,0)))</f>
        <v/>
      </c>
      <c r="O37" s="34" t="str">
        <f aca="false">IF(L37&gt;$B$6,"",INDEX(Journal!$AC$7:$AC$506,MATCH(L37,Journal!$AI$7:$AI$506,0)))</f>
        <v/>
      </c>
      <c r="P37" s="35" t="str">
        <f aca="false">IF(L37&gt;$B$6,"",INDEX(Journal!$AD$7:$AD$506,MATCH(L37,Journal!$AI$7:$AI$506,0)))</f>
        <v/>
      </c>
      <c r="Q37" s="34" t="n">
        <f aca="false">IF(L37&gt;$B$6,Q36,Q36+O37)</f>
        <v>20000</v>
      </c>
      <c r="R37" s="34" t="str">
        <f aca="false">IF(L37&gt;$B$6,"",Q37-MAX($Q$5:Q37))</f>
        <v/>
      </c>
    </row>
    <row r="38" customFormat="false" ht="15" hidden="false" customHeight="false" outlineLevel="0" collapsed="false">
      <c r="A38" s="30" t="s">
        <v>123</v>
      </c>
      <c r="B38" s="39" t="n">
        <f aca="false">Journal!$C$4</f>
        <v>0.06</v>
      </c>
      <c r="D38" s="43" t="str">
        <f aca="false">IF(D37="","",IF(EDATE(D37,1)&gt;MAX(Journal!$AH$7:$AH$506),"",EDATE(D37,1)))</f>
        <v/>
      </c>
      <c r="E38" s="32" t="str">
        <f aca="false">IF(D38="","",COUNTIFS(Journal!$AH$7:$AH$506,D38))</f>
        <v/>
      </c>
      <c r="F38" s="32" t="str">
        <f aca="false">IF(D38="","",COUNTIFS(Journal!$AH$7:$AH$506,D38,Journal!$AC$7:$AC$506,"&gt;0"))</f>
        <v/>
      </c>
      <c r="G38" s="33" t="str">
        <f aca="false">IF(N(E38)=0,"",F38/E38)</f>
        <v/>
      </c>
      <c r="H38" s="34" t="str">
        <f aca="false">IF(D38="","",SUMIFS(Journal!$AC$7:$AC$506,Journal!$AH$7:$AH$506,D38))</f>
        <v/>
      </c>
      <c r="I38" s="35" t="str">
        <f aca="false">IF(D38="","",SUMIFS(Journal!$AD$7:$AD$506,Journal!$AH$7:$AH$506,D38))</f>
        <v/>
      </c>
      <c r="J38" s="35" t="str">
        <f aca="false">IF(COUNTIFS(Journal!$AH$7:$AH$506,D38,Journal!$Z$7:$Z$506,"&gt;0")=0,"",SUMIFS(Journal!$AD$7:$AD$506,Journal!$AH$7:$AH$506,D38,Journal!$Z$7:$Z$506,"&gt;0")/COUNTIFS(Journal!$AH$7:$AH$506,D38,Journal!$Z$7:$Z$506,"&gt;0"))</f>
        <v/>
      </c>
      <c r="L38" s="0" t="n">
        <v>33</v>
      </c>
      <c r="M38" s="37" t="str">
        <f aca="false">IF(L38&gt;$B$6,"",INDEX(Journal!$P$7:$P$506,MATCH(L38,Journal!$AI$7:$AI$506,0)))</f>
        <v/>
      </c>
      <c r="N38" s="0" t="str">
        <f aca="false">IF(L38&gt;$B$6,"",INDEX(Journal!$A$7:$A$506,MATCH(L38,Journal!$AI$7:$AI$506,0)))</f>
        <v/>
      </c>
      <c r="O38" s="34" t="str">
        <f aca="false">IF(L38&gt;$B$6,"",INDEX(Journal!$AC$7:$AC$506,MATCH(L38,Journal!$AI$7:$AI$506,0)))</f>
        <v/>
      </c>
      <c r="P38" s="35" t="str">
        <f aca="false">IF(L38&gt;$B$6,"",INDEX(Journal!$AD$7:$AD$506,MATCH(L38,Journal!$AI$7:$AI$506,0)))</f>
        <v/>
      </c>
      <c r="Q38" s="34" t="n">
        <f aca="false">IF(L38&gt;$B$6,Q37,Q37+O38)</f>
        <v>20000</v>
      </c>
      <c r="R38" s="34" t="str">
        <f aca="false">IF(L38&gt;$B$6,"",Q38-MAX($Q$5:Q38))</f>
        <v/>
      </c>
    </row>
    <row r="39" customFormat="false" ht="15" hidden="false" customHeight="false" outlineLevel="0" collapsed="false">
      <c r="A39" s="30" t="s">
        <v>34</v>
      </c>
      <c r="B39" s="47" t="str">
        <f aca="false">IF(OR(N(B38)&lt;=0,B37=""),"",IF(B37&gt;B38,"Over limit","OK"))</f>
        <v>OK</v>
      </c>
      <c r="D39" s="43" t="str">
        <f aca="false">IF(D38="","",IF(EDATE(D38,1)&gt;MAX(Journal!$AH$7:$AH$506),"",EDATE(D38,1)))</f>
        <v/>
      </c>
      <c r="E39" s="32" t="str">
        <f aca="false">IF(D39="","",COUNTIFS(Journal!$AH$7:$AH$506,D39))</f>
        <v/>
      </c>
      <c r="F39" s="32" t="str">
        <f aca="false">IF(D39="","",COUNTIFS(Journal!$AH$7:$AH$506,D39,Journal!$AC$7:$AC$506,"&gt;0"))</f>
        <v/>
      </c>
      <c r="G39" s="33" t="str">
        <f aca="false">IF(N(E39)=0,"",F39/E39)</f>
        <v/>
      </c>
      <c r="H39" s="34" t="str">
        <f aca="false">IF(D39="","",SUMIFS(Journal!$AC$7:$AC$506,Journal!$AH$7:$AH$506,D39))</f>
        <v/>
      </c>
      <c r="I39" s="35" t="str">
        <f aca="false">IF(D39="","",SUMIFS(Journal!$AD$7:$AD$506,Journal!$AH$7:$AH$506,D39))</f>
        <v/>
      </c>
      <c r="J39" s="35" t="str">
        <f aca="false">IF(COUNTIFS(Journal!$AH$7:$AH$506,D39,Journal!$Z$7:$Z$506,"&gt;0")=0,"",SUMIFS(Journal!$AD$7:$AD$506,Journal!$AH$7:$AH$506,D39,Journal!$Z$7:$Z$506,"&gt;0")/COUNTIFS(Journal!$AH$7:$AH$506,D39,Journal!$Z$7:$Z$506,"&gt;0"))</f>
        <v/>
      </c>
      <c r="L39" s="0" t="n">
        <v>34</v>
      </c>
      <c r="M39" s="37" t="str">
        <f aca="false">IF(L39&gt;$B$6,"",INDEX(Journal!$P$7:$P$506,MATCH(L39,Journal!$AI$7:$AI$506,0)))</f>
        <v/>
      </c>
      <c r="N39" s="0" t="str">
        <f aca="false">IF(L39&gt;$B$6,"",INDEX(Journal!$A$7:$A$506,MATCH(L39,Journal!$AI$7:$AI$506,0)))</f>
        <v/>
      </c>
      <c r="O39" s="34" t="str">
        <f aca="false">IF(L39&gt;$B$6,"",INDEX(Journal!$AC$7:$AC$506,MATCH(L39,Journal!$AI$7:$AI$506,0)))</f>
        <v/>
      </c>
      <c r="P39" s="35" t="str">
        <f aca="false">IF(L39&gt;$B$6,"",INDEX(Journal!$AD$7:$AD$506,MATCH(L39,Journal!$AI$7:$AI$506,0)))</f>
        <v/>
      </c>
      <c r="Q39" s="34" t="n">
        <f aca="false">IF(L39&gt;$B$6,Q38,Q38+O39)</f>
        <v>20000</v>
      </c>
      <c r="R39" s="34" t="str">
        <f aca="false">IF(L39&gt;$B$6,"",Q39-MAX($Q$5:Q39))</f>
        <v/>
      </c>
    </row>
    <row r="40" customFormat="false" ht="15" hidden="false" customHeight="false" outlineLevel="0" collapsed="false">
      <c r="D40" s="43" t="str">
        <f aca="false">IF(D39="","",IF(EDATE(D39,1)&gt;MAX(Journal!$AH$7:$AH$506),"",EDATE(D39,1)))</f>
        <v/>
      </c>
      <c r="E40" s="32" t="str">
        <f aca="false">IF(D40="","",COUNTIFS(Journal!$AH$7:$AH$506,D40))</f>
        <v/>
      </c>
      <c r="F40" s="32" t="str">
        <f aca="false">IF(D40="","",COUNTIFS(Journal!$AH$7:$AH$506,D40,Journal!$AC$7:$AC$506,"&gt;0"))</f>
        <v/>
      </c>
      <c r="G40" s="33" t="str">
        <f aca="false">IF(N(E40)=0,"",F40/E40)</f>
        <v/>
      </c>
      <c r="H40" s="34" t="str">
        <f aca="false">IF(D40="","",SUMIFS(Journal!$AC$7:$AC$506,Journal!$AH$7:$AH$506,D40))</f>
        <v/>
      </c>
      <c r="I40" s="35" t="str">
        <f aca="false">IF(D40="","",SUMIFS(Journal!$AD$7:$AD$506,Journal!$AH$7:$AH$506,D40))</f>
        <v/>
      </c>
      <c r="J40" s="35" t="str">
        <f aca="false">IF(COUNTIFS(Journal!$AH$7:$AH$506,D40,Journal!$Z$7:$Z$506,"&gt;0")=0,"",SUMIFS(Journal!$AD$7:$AD$506,Journal!$AH$7:$AH$506,D40,Journal!$Z$7:$Z$506,"&gt;0")/COUNTIFS(Journal!$AH$7:$AH$506,D40,Journal!$Z$7:$Z$506,"&gt;0"))</f>
        <v/>
      </c>
      <c r="L40" s="0" t="n">
        <v>35</v>
      </c>
      <c r="M40" s="37" t="str">
        <f aca="false">IF(L40&gt;$B$6,"",INDEX(Journal!$P$7:$P$506,MATCH(L40,Journal!$AI$7:$AI$506,0)))</f>
        <v/>
      </c>
      <c r="N40" s="0" t="str">
        <f aca="false">IF(L40&gt;$B$6,"",INDEX(Journal!$A$7:$A$506,MATCH(L40,Journal!$AI$7:$AI$506,0)))</f>
        <v/>
      </c>
      <c r="O40" s="34" t="str">
        <f aca="false">IF(L40&gt;$B$6,"",INDEX(Journal!$AC$7:$AC$506,MATCH(L40,Journal!$AI$7:$AI$506,0)))</f>
        <v/>
      </c>
      <c r="P40" s="35" t="str">
        <f aca="false">IF(L40&gt;$B$6,"",INDEX(Journal!$AD$7:$AD$506,MATCH(L40,Journal!$AI$7:$AI$506,0)))</f>
        <v/>
      </c>
      <c r="Q40" s="34" t="n">
        <f aca="false">IF(L40&gt;$B$6,Q39,Q39+O40)</f>
        <v>20000</v>
      </c>
      <c r="R40" s="34" t="str">
        <f aca="false">IF(L40&gt;$B$6,"",Q40-MAX($Q$5:Q40))</f>
        <v/>
      </c>
    </row>
    <row r="41" customFormat="false" ht="15" hidden="false" customHeight="false" outlineLevel="0" collapsed="false">
      <c r="D41" s="43" t="str">
        <f aca="false">IF(D40="","",IF(EDATE(D40,1)&gt;MAX(Journal!$AH$7:$AH$506),"",EDATE(D40,1)))</f>
        <v/>
      </c>
      <c r="E41" s="32" t="str">
        <f aca="false">IF(D41="","",COUNTIFS(Journal!$AH$7:$AH$506,D41))</f>
        <v/>
      </c>
      <c r="F41" s="32" t="str">
        <f aca="false">IF(D41="","",COUNTIFS(Journal!$AH$7:$AH$506,D41,Journal!$AC$7:$AC$506,"&gt;0"))</f>
        <v/>
      </c>
      <c r="G41" s="33" t="str">
        <f aca="false">IF(N(E41)=0,"",F41/E41)</f>
        <v/>
      </c>
      <c r="H41" s="34" t="str">
        <f aca="false">IF(D41="","",SUMIFS(Journal!$AC$7:$AC$506,Journal!$AH$7:$AH$506,D41))</f>
        <v/>
      </c>
      <c r="I41" s="35" t="str">
        <f aca="false">IF(D41="","",SUMIFS(Journal!$AD$7:$AD$506,Journal!$AH$7:$AH$506,D41))</f>
        <v/>
      </c>
      <c r="J41" s="35" t="str">
        <f aca="false">IF(COUNTIFS(Journal!$AH$7:$AH$506,D41,Journal!$Z$7:$Z$506,"&gt;0")=0,"",SUMIFS(Journal!$AD$7:$AD$506,Journal!$AH$7:$AH$506,D41,Journal!$Z$7:$Z$506,"&gt;0")/COUNTIFS(Journal!$AH$7:$AH$506,D41,Journal!$Z$7:$Z$506,"&gt;0"))</f>
        <v/>
      </c>
      <c r="L41" s="0" t="n">
        <v>36</v>
      </c>
      <c r="M41" s="37" t="str">
        <f aca="false">IF(L41&gt;$B$6,"",INDEX(Journal!$P$7:$P$506,MATCH(L41,Journal!$AI$7:$AI$506,0)))</f>
        <v/>
      </c>
      <c r="N41" s="0" t="str">
        <f aca="false">IF(L41&gt;$B$6,"",INDEX(Journal!$A$7:$A$506,MATCH(L41,Journal!$AI$7:$AI$506,0)))</f>
        <v/>
      </c>
      <c r="O41" s="34" t="str">
        <f aca="false">IF(L41&gt;$B$6,"",INDEX(Journal!$AC$7:$AC$506,MATCH(L41,Journal!$AI$7:$AI$506,0)))</f>
        <v/>
      </c>
      <c r="P41" s="35" t="str">
        <f aca="false">IF(L41&gt;$B$6,"",INDEX(Journal!$AD$7:$AD$506,MATCH(L41,Journal!$AI$7:$AI$506,0)))</f>
        <v/>
      </c>
      <c r="Q41" s="34" t="n">
        <f aca="false">IF(L41&gt;$B$6,Q40,Q40+O41)</f>
        <v>20000</v>
      </c>
      <c r="R41" s="34" t="str">
        <f aca="false">IF(L41&gt;$B$6,"",Q41-MAX($Q$5:Q41))</f>
        <v/>
      </c>
    </row>
    <row r="42" customFormat="false" ht="15" hidden="false" customHeight="false" outlineLevel="0" collapsed="false">
      <c r="D42" s="43" t="str">
        <f aca="false">IF(D41="","",IF(EDATE(D41,1)&gt;MAX(Journal!$AH$7:$AH$506),"",EDATE(D41,1)))</f>
        <v/>
      </c>
      <c r="E42" s="32" t="str">
        <f aca="false">IF(D42="","",COUNTIFS(Journal!$AH$7:$AH$506,D42))</f>
        <v/>
      </c>
      <c r="F42" s="32" t="str">
        <f aca="false">IF(D42="","",COUNTIFS(Journal!$AH$7:$AH$506,D42,Journal!$AC$7:$AC$506,"&gt;0"))</f>
        <v/>
      </c>
      <c r="G42" s="33" t="str">
        <f aca="false">IF(N(E42)=0,"",F42/E42)</f>
        <v/>
      </c>
      <c r="H42" s="34" t="str">
        <f aca="false">IF(D42="","",SUMIFS(Journal!$AC$7:$AC$506,Journal!$AH$7:$AH$506,D42))</f>
        <v/>
      </c>
      <c r="I42" s="35" t="str">
        <f aca="false">IF(D42="","",SUMIFS(Journal!$AD$7:$AD$506,Journal!$AH$7:$AH$506,D42))</f>
        <v/>
      </c>
      <c r="J42" s="35" t="str">
        <f aca="false">IF(COUNTIFS(Journal!$AH$7:$AH$506,D42,Journal!$Z$7:$Z$506,"&gt;0")=0,"",SUMIFS(Journal!$AD$7:$AD$506,Journal!$AH$7:$AH$506,D42,Journal!$Z$7:$Z$506,"&gt;0")/COUNTIFS(Journal!$AH$7:$AH$506,D42,Journal!$Z$7:$Z$506,"&gt;0"))</f>
        <v/>
      </c>
      <c r="L42" s="0" t="n">
        <v>37</v>
      </c>
      <c r="M42" s="37" t="str">
        <f aca="false">IF(L42&gt;$B$6,"",INDEX(Journal!$P$7:$P$506,MATCH(L42,Journal!$AI$7:$AI$506,0)))</f>
        <v/>
      </c>
      <c r="N42" s="0" t="str">
        <f aca="false">IF(L42&gt;$B$6,"",INDEX(Journal!$A$7:$A$506,MATCH(L42,Journal!$AI$7:$AI$506,0)))</f>
        <v/>
      </c>
      <c r="O42" s="34" t="str">
        <f aca="false">IF(L42&gt;$B$6,"",INDEX(Journal!$AC$7:$AC$506,MATCH(L42,Journal!$AI$7:$AI$506,0)))</f>
        <v/>
      </c>
      <c r="P42" s="35" t="str">
        <f aca="false">IF(L42&gt;$B$6,"",INDEX(Journal!$AD$7:$AD$506,MATCH(L42,Journal!$AI$7:$AI$506,0)))</f>
        <v/>
      </c>
      <c r="Q42" s="34" t="n">
        <f aca="false">IF(L42&gt;$B$6,Q41,Q41+O42)</f>
        <v>20000</v>
      </c>
      <c r="R42" s="34" t="str">
        <f aca="false">IF(L42&gt;$B$6,"",Q42-MAX($Q$5:Q42))</f>
        <v/>
      </c>
    </row>
    <row r="43" customFormat="false" ht="15" hidden="false" customHeight="false" outlineLevel="0" collapsed="false">
      <c r="D43" s="43" t="str">
        <f aca="false">IF(D42="","",IF(EDATE(D42,1)&gt;MAX(Journal!$AH$7:$AH$506),"",EDATE(D42,1)))</f>
        <v/>
      </c>
      <c r="E43" s="32" t="str">
        <f aca="false">IF(D43="","",COUNTIFS(Journal!$AH$7:$AH$506,D43))</f>
        <v/>
      </c>
      <c r="F43" s="32" t="str">
        <f aca="false">IF(D43="","",COUNTIFS(Journal!$AH$7:$AH$506,D43,Journal!$AC$7:$AC$506,"&gt;0"))</f>
        <v/>
      </c>
      <c r="G43" s="33" t="str">
        <f aca="false">IF(N(E43)=0,"",F43/E43)</f>
        <v/>
      </c>
      <c r="H43" s="34" t="str">
        <f aca="false">IF(D43="","",SUMIFS(Journal!$AC$7:$AC$506,Journal!$AH$7:$AH$506,D43))</f>
        <v/>
      </c>
      <c r="I43" s="35" t="str">
        <f aca="false">IF(D43="","",SUMIFS(Journal!$AD$7:$AD$506,Journal!$AH$7:$AH$506,D43))</f>
        <v/>
      </c>
      <c r="J43" s="35" t="str">
        <f aca="false">IF(COUNTIFS(Journal!$AH$7:$AH$506,D43,Journal!$Z$7:$Z$506,"&gt;0")=0,"",SUMIFS(Journal!$AD$7:$AD$506,Journal!$AH$7:$AH$506,D43,Journal!$Z$7:$Z$506,"&gt;0")/COUNTIFS(Journal!$AH$7:$AH$506,D43,Journal!$Z$7:$Z$506,"&gt;0"))</f>
        <v/>
      </c>
      <c r="L43" s="0" t="n">
        <v>38</v>
      </c>
      <c r="M43" s="37" t="str">
        <f aca="false">IF(L43&gt;$B$6,"",INDEX(Journal!$P$7:$P$506,MATCH(L43,Journal!$AI$7:$AI$506,0)))</f>
        <v/>
      </c>
      <c r="N43" s="0" t="str">
        <f aca="false">IF(L43&gt;$B$6,"",INDEX(Journal!$A$7:$A$506,MATCH(L43,Journal!$AI$7:$AI$506,0)))</f>
        <v/>
      </c>
      <c r="O43" s="34" t="str">
        <f aca="false">IF(L43&gt;$B$6,"",INDEX(Journal!$AC$7:$AC$506,MATCH(L43,Journal!$AI$7:$AI$506,0)))</f>
        <v/>
      </c>
      <c r="P43" s="35" t="str">
        <f aca="false">IF(L43&gt;$B$6,"",INDEX(Journal!$AD$7:$AD$506,MATCH(L43,Journal!$AI$7:$AI$506,0)))</f>
        <v/>
      </c>
      <c r="Q43" s="34" t="n">
        <f aca="false">IF(L43&gt;$B$6,Q42,Q42+O43)</f>
        <v>20000</v>
      </c>
      <c r="R43" s="34" t="str">
        <f aca="false">IF(L43&gt;$B$6,"",Q43-MAX($Q$5:Q43))</f>
        <v/>
      </c>
    </row>
    <row r="44" customFormat="false" ht="15" hidden="false" customHeight="false" outlineLevel="0" collapsed="false">
      <c r="D44" s="43" t="str">
        <f aca="false">IF(D43="","",IF(EDATE(D43,1)&gt;MAX(Journal!$AH$7:$AH$506),"",EDATE(D43,1)))</f>
        <v/>
      </c>
      <c r="E44" s="32" t="str">
        <f aca="false">IF(D44="","",COUNTIFS(Journal!$AH$7:$AH$506,D44))</f>
        <v/>
      </c>
      <c r="F44" s="32" t="str">
        <f aca="false">IF(D44="","",COUNTIFS(Journal!$AH$7:$AH$506,D44,Journal!$AC$7:$AC$506,"&gt;0"))</f>
        <v/>
      </c>
      <c r="G44" s="33" t="str">
        <f aca="false">IF(N(E44)=0,"",F44/E44)</f>
        <v/>
      </c>
      <c r="H44" s="34" t="str">
        <f aca="false">IF(D44="","",SUMIFS(Journal!$AC$7:$AC$506,Journal!$AH$7:$AH$506,D44))</f>
        <v/>
      </c>
      <c r="I44" s="35" t="str">
        <f aca="false">IF(D44="","",SUMIFS(Journal!$AD$7:$AD$506,Journal!$AH$7:$AH$506,D44))</f>
        <v/>
      </c>
      <c r="J44" s="35" t="str">
        <f aca="false">IF(COUNTIFS(Journal!$AH$7:$AH$506,D44,Journal!$Z$7:$Z$506,"&gt;0")=0,"",SUMIFS(Journal!$AD$7:$AD$506,Journal!$AH$7:$AH$506,D44,Journal!$Z$7:$Z$506,"&gt;0")/COUNTIFS(Journal!$AH$7:$AH$506,D44,Journal!$Z$7:$Z$506,"&gt;0"))</f>
        <v/>
      </c>
      <c r="L44" s="0" t="n">
        <v>39</v>
      </c>
      <c r="M44" s="37" t="str">
        <f aca="false">IF(L44&gt;$B$6,"",INDEX(Journal!$P$7:$P$506,MATCH(L44,Journal!$AI$7:$AI$506,0)))</f>
        <v/>
      </c>
      <c r="N44" s="0" t="str">
        <f aca="false">IF(L44&gt;$B$6,"",INDEX(Journal!$A$7:$A$506,MATCH(L44,Journal!$AI$7:$AI$506,0)))</f>
        <v/>
      </c>
      <c r="O44" s="34" t="str">
        <f aca="false">IF(L44&gt;$B$6,"",INDEX(Journal!$AC$7:$AC$506,MATCH(L44,Journal!$AI$7:$AI$506,0)))</f>
        <v/>
      </c>
      <c r="P44" s="35" t="str">
        <f aca="false">IF(L44&gt;$B$6,"",INDEX(Journal!$AD$7:$AD$506,MATCH(L44,Journal!$AI$7:$AI$506,0)))</f>
        <v/>
      </c>
      <c r="Q44" s="34" t="n">
        <f aca="false">IF(L44&gt;$B$6,Q43,Q43+O44)</f>
        <v>20000</v>
      </c>
      <c r="R44" s="34" t="str">
        <f aca="false">IF(L44&gt;$B$6,"",Q44-MAX($Q$5:Q44))</f>
        <v/>
      </c>
    </row>
    <row r="45" customFormat="false" ht="15" hidden="false" customHeight="false" outlineLevel="0" collapsed="false">
      <c r="L45" s="0" t="n">
        <v>40</v>
      </c>
      <c r="M45" s="37" t="str">
        <f aca="false">IF(L45&gt;$B$6,"",INDEX(Journal!$P$7:$P$506,MATCH(L45,Journal!$AI$7:$AI$506,0)))</f>
        <v/>
      </c>
      <c r="N45" s="0" t="str">
        <f aca="false">IF(L45&gt;$B$6,"",INDEX(Journal!$A$7:$A$506,MATCH(L45,Journal!$AI$7:$AI$506,0)))</f>
        <v/>
      </c>
      <c r="O45" s="34" t="str">
        <f aca="false">IF(L45&gt;$B$6,"",INDEX(Journal!$AC$7:$AC$506,MATCH(L45,Journal!$AI$7:$AI$506,0)))</f>
        <v/>
      </c>
      <c r="P45" s="35" t="str">
        <f aca="false">IF(L45&gt;$B$6,"",INDEX(Journal!$AD$7:$AD$506,MATCH(L45,Journal!$AI$7:$AI$506,0)))</f>
        <v/>
      </c>
      <c r="Q45" s="34" t="n">
        <f aca="false">IF(L45&gt;$B$6,Q44,Q44+O45)</f>
        <v>20000</v>
      </c>
      <c r="R45" s="34" t="str">
        <f aca="false">IF(L45&gt;$B$6,"",Q45-MAX($Q$5:Q45))</f>
        <v/>
      </c>
    </row>
    <row r="46" customFormat="false" ht="15" hidden="false" customHeight="false" outlineLevel="0" collapsed="false">
      <c r="L46" s="0" t="n">
        <v>41</v>
      </c>
      <c r="M46" s="37" t="str">
        <f aca="false">IF(L46&gt;$B$6,"",INDEX(Journal!$P$7:$P$506,MATCH(L46,Journal!$AI$7:$AI$506,0)))</f>
        <v/>
      </c>
      <c r="N46" s="0" t="str">
        <f aca="false">IF(L46&gt;$B$6,"",INDEX(Journal!$A$7:$A$506,MATCH(L46,Journal!$AI$7:$AI$506,0)))</f>
        <v/>
      </c>
      <c r="O46" s="34" t="str">
        <f aca="false">IF(L46&gt;$B$6,"",INDEX(Journal!$AC$7:$AC$506,MATCH(L46,Journal!$AI$7:$AI$506,0)))</f>
        <v/>
      </c>
      <c r="P46" s="35" t="str">
        <f aca="false">IF(L46&gt;$B$6,"",INDEX(Journal!$AD$7:$AD$506,MATCH(L46,Journal!$AI$7:$AI$506,0)))</f>
        <v/>
      </c>
      <c r="Q46" s="34" t="n">
        <f aca="false">IF(L46&gt;$B$6,Q45,Q45+O46)</f>
        <v>20000</v>
      </c>
      <c r="R46" s="34" t="str">
        <f aca="false">IF(L46&gt;$B$6,"",Q46-MAX($Q$5:Q46))</f>
        <v/>
      </c>
    </row>
    <row r="47" customFormat="false" ht="15" hidden="false" customHeight="false" outlineLevel="0" collapsed="false">
      <c r="L47" s="0" t="n">
        <v>42</v>
      </c>
      <c r="M47" s="37" t="str">
        <f aca="false">IF(L47&gt;$B$6,"",INDEX(Journal!$P$7:$P$506,MATCH(L47,Journal!$AI$7:$AI$506,0)))</f>
        <v/>
      </c>
      <c r="N47" s="0" t="str">
        <f aca="false">IF(L47&gt;$B$6,"",INDEX(Journal!$A$7:$A$506,MATCH(L47,Journal!$AI$7:$AI$506,0)))</f>
        <v/>
      </c>
      <c r="O47" s="34" t="str">
        <f aca="false">IF(L47&gt;$B$6,"",INDEX(Journal!$AC$7:$AC$506,MATCH(L47,Journal!$AI$7:$AI$506,0)))</f>
        <v/>
      </c>
      <c r="P47" s="35" t="str">
        <f aca="false">IF(L47&gt;$B$6,"",INDEX(Journal!$AD$7:$AD$506,MATCH(L47,Journal!$AI$7:$AI$506,0)))</f>
        <v/>
      </c>
      <c r="Q47" s="34" t="n">
        <f aca="false">IF(L47&gt;$B$6,Q46,Q46+O47)</f>
        <v>20000</v>
      </c>
      <c r="R47" s="34" t="str">
        <f aca="false">IF(L47&gt;$B$6,"",Q47-MAX($Q$5:Q47))</f>
        <v/>
      </c>
    </row>
    <row r="48" customFormat="false" ht="15" hidden="false" customHeight="false" outlineLevel="0" collapsed="false">
      <c r="L48" s="0" t="n">
        <v>43</v>
      </c>
      <c r="M48" s="37" t="str">
        <f aca="false">IF(L48&gt;$B$6,"",INDEX(Journal!$P$7:$P$506,MATCH(L48,Journal!$AI$7:$AI$506,0)))</f>
        <v/>
      </c>
      <c r="N48" s="0" t="str">
        <f aca="false">IF(L48&gt;$B$6,"",INDEX(Journal!$A$7:$A$506,MATCH(L48,Journal!$AI$7:$AI$506,0)))</f>
        <v/>
      </c>
      <c r="O48" s="34" t="str">
        <f aca="false">IF(L48&gt;$B$6,"",INDEX(Journal!$AC$7:$AC$506,MATCH(L48,Journal!$AI$7:$AI$506,0)))</f>
        <v/>
      </c>
      <c r="P48" s="35" t="str">
        <f aca="false">IF(L48&gt;$B$6,"",INDEX(Journal!$AD$7:$AD$506,MATCH(L48,Journal!$AI$7:$AI$506,0)))</f>
        <v/>
      </c>
      <c r="Q48" s="34" t="n">
        <f aca="false">IF(L48&gt;$B$6,Q47,Q47+O48)</f>
        <v>20000</v>
      </c>
      <c r="R48" s="34" t="str">
        <f aca="false">IF(L48&gt;$B$6,"",Q48-MAX($Q$5:Q48))</f>
        <v/>
      </c>
    </row>
    <row r="49" customFormat="false" ht="15" hidden="false" customHeight="false" outlineLevel="0" collapsed="false">
      <c r="L49" s="0" t="n">
        <v>44</v>
      </c>
      <c r="M49" s="37" t="str">
        <f aca="false">IF(L49&gt;$B$6,"",INDEX(Journal!$P$7:$P$506,MATCH(L49,Journal!$AI$7:$AI$506,0)))</f>
        <v/>
      </c>
      <c r="N49" s="0" t="str">
        <f aca="false">IF(L49&gt;$B$6,"",INDEX(Journal!$A$7:$A$506,MATCH(L49,Journal!$AI$7:$AI$506,0)))</f>
        <v/>
      </c>
      <c r="O49" s="34" t="str">
        <f aca="false">IF(L49&gt;$B$6,"",INDEX(Journal!$AC$7:$AC$506,MATCH(L49,Journal!$AI$7:$AI$506,0)))</f>
        <v/>
      </c>
      <c r="P49" s="35" t="str">
        <f aca="false">IF(L49&gt;$B$6,"",INDEX(Journal!$AD$7:$AD$506,MATCH(L49,Journal!$AI$7:$AI$506,0)))</f>
        <v/>
      </c>
      <c r="Q49" s="34" t="n">
        <f aca="false">IF(L49&gt;$B$6,Q48,Q48+O49)</f>
        <v>20000</v>
      </c>
      <c r="R49" s="34" t="str">
        <f aca="false">IF(L49&gt;$B$6,"",Q49-MAX($Q$5:Q49))</f>
        <v/>
      </c>
    </row>
    <row r="50" customFormat="false" ht="15" hidden="false" customHeight="false" outlineLevel="0" collapsed="false">
      <c r="L50" s="0" t="n">
        <v>45</v>
      </c>
      <c r="M50" s="37" t="str">
        <f aca="false">IF(L50&gt;$B$6,"",INDEX(Journal!$P$7:$P$506,MATCH(L50,Journal!$AI$7:$AI$506,0)))</f>
        <v/>
      </c>
      <c r="N50" s="0" t="str">
        <f aca="false">IF(L50&gt;$B$6,"",INDEX(Journal!$A$7:$A$506,MATCH(L50,Journal!$AI$7:$AI$506,0)))</f>
        <v/>
      </c>
      <c r="O50" s="34" t="str">
        <f aca="false">IF(L50&gt;$B$6,"",INDEX(Journal!$AC$7:$AC$506,MATCH(L50,Journal!$AI$7:$AI$506,0)))</f>
        <v/>
      </c>
      <c r="P50" s="35" t="str">
        <f aca="false">IF(L50&gt;$B$6,"",INDEX(Journal!$AD$7:$AD$506,MATCH(L50,Journal!$AI$7:$AI$506,0)))</f>
        <v/>
      </c>
      <c r="Q50" s="34" t="n">
        <f aca="false">IF(L50&gt;$B$6,Q49,Q49+O50)</f>
        <v>20000</v>
      </c>
      <c r="R50" s="34" t="str">
        <f aca="false">IF(L50&gt;$B$6,"",Q50-MAX($Q$5:Q50))</f>
        <v/>
      </c>
    </row>
    <row r="51" customFormat="false" ht="15" hidden="false" customHeight="false" outlineLevel="0" collapsed="false">
      <c r="L51" s="0" t="n">
        <v>46</v>
      </c>
      <c r="M51" s="37" t="str">
        <f aca="false">IF(L51&gt;$B$6,"",INDEX(Journal!$P$7:$P$506,MATCH(L51,Journal!$AI$7:$AI$506,0)))</f>
        <v/>
      </c>
      <c r="N51" s="0" t="str">
        <f aca="false">IF(L51&gt;$B$6,"",INDEX(Journal!$A$7:$A$506,MATCH(L51,Journal!$AI$7:$AI$506,0)))</f>
        <v/>
      </c>
      <c r="O51" s="34" t="str">
        <f aca="false">IF(L51&gt;$B$6,"",INDEX(Journal!$AC$7:$AC$506,MATCH(L51,Journal!$AI$7:$AI$506,0)))</f>
        <v/>
      </c>
      <c r="P51" s="35" t="str">
        <f aca="false">IF(L51&gt;$B$6,"",INDEX(Journal!$AD$7:$AD$506,MATCH(L51,Journal!$AI$7:$AI$506,0)))</f>
        <v/>
      </c>
      <c r="Q51" s="34" t="n">
        <f aca="false">IF(L51&gt;$B$6,Q50,Q50+O51)</f>
        <v>20000</v>
      </c>
      <c r="R51" s="34" t="str">
        <f aca="false">IF(L51&gt;$B$6,"",Q51-MAX($Q$5:Q51))</f>
        <v/>
      </c>
    </row>
    <row r="52" customFormat="false" ht="15" hidden="false" customHeight="false" outlineLevel="0" collapsed="false">
      <c r="L52" s="0" t="n">
        <v>47</v>
      </c>
      <c r="M52" s="37" t="str">
        <f aca="false">IF(L52&gt;$B$6,"",INDEX(Journal!$P$7:$P$506,MATCH(L52,Journal!$AI$7:$AI$506,0)))</f>
        <v/>
      </c>
      <c r="N52" s="0" t="str">
        <f aca="false">IF(L52&gt;$B$6,"",INDEX(Journal!$A$7:$A$506,MATCH(L52,Journal!$AI$7:$AI$506,0)))</f>
        <v/>
      </c>
      <c r="O52" s="34" t="str">
        <f aca="false">IF(L52&gt;$B$6,"",INDEX(Journal!$AC$7:$AC$506,MATCH(L52,Journal!$AI$7:$AI$506,0)))</f>
        <v/>
      </c>
      <c r="P52" s="35" t="str">
        <f aca="false">IF(L52&gt;$B$6,"",INDEX(Journal!$AD$7:$AD$506,MATCH(L52,Journal!$AI$7:$AI$506,0)))</f>
        <v/>
      </c>
      <c r="Q52" s="34" t="n">
        <f aca="false">IF(L52&gt;$B$6,Q51,Q51+O52)</f>
        <v>20000</v>
      </c>
      <c r="R52" s="34" t="str">
        <f aca="false">IF(L52&gt;$B$6,"",Q52-MAX($Q$5:Q52))</f>
        <v/>
      </c>
    </row>
    <row r="53" customFormat="false" ht="15" hidden="false" customHeight="false" outlineLevel="0" collapsed="false">
      <c r="L53" s="0" t="n">
        <v>48</v>
      </c>
      <c r="M53" s="37" t="str">
        <f aca="false">IF(L53&gt;$B$6,"",INDEX(Journal!$P$7:$P$506,MATCH(L53,Journal!$AI$7:$AI$506,0)))</f>
        <v/>
      </c>
      <c r="N53" s="0" t="str">
        <f aca="false">IF(L53&gt;$B$6,"",INDEX(Journal!$A$7:$A$506,MATCH(L53,Journal!$AI$7:$AI$506,0)))</f>
        <v/>
      </c>
      <c r="O53" s="34" t="str">
        <f aca="false">IF(L53&gt;$B$6,"",INDEX(Journal!$AC$7:$AC$506,MATCH(L53,Journal!$AI$7:$AI$506,0)))</f>
        <v/>
      </c>
      <c r="P53" s="35" t="str">
        <f aca="false">IF(L53&gt;$B$6,"",INDEX(Journal!$AD$7:$AD$506,MATCH(L53,Journal!$AI$7:$AI$506,0)))</f>
        <v/>
      </c>
      <c r="Q53" s="34" t="n">
        <f aca="false">IF(L53&gt;$B$6,Q52,Q52+O53)</f>
        <v>20000</v>
      </c>
      <c r="R53" s="34" t="str">
        <f aca="false">IF(L53&gt;$B$6,"",Q53-MAX($Q$5:Q53))</f>
        <v/>
      </c>
    </row>
    <row r="54" customFormat="false" ht="15" hidden="false" customHeight="false" outlineLevel="0" collapsed="false">
      <c r="L54" s="0" t="n">
        <v>49</v>
      </c>
      <c r="M54" s="37" t="str">
        <f aca="false">IF(L54&gt;$B$6,"",INDEX(Journal!$P$7:$P$506,MATCH(L54,Journal!$AI$7:$AI$506,0)))</f>
        <v/>
      </c>
      <c r="N54" s="0" t="str">
        <f aca="false">IF(L54&gt;$B$6,"",INDEX(Journal!$A$7:$A$506,MATCH(L54,Journal!$AI$7:$AI$506,0)))</f>
        <v/>
      </c>
      <c r="O54" s="34" t="str">
        <f aca="false">IF(L54&gt;$B$6,"",INDEX(Journal!$AC$7:$AC$506,MATCH(L54,Journal!$AI$7:$AI$506,0)))</f>
        <v/>
      </c>
      <c r="P54" s="35" t="str">
        <f aca="false">IF(L54&gt;$B$6,"",INDEX(Journal!$AD$7:$AD$506,MATCH(L54,Journal!$AI$7:$AI$506,0)))</f>
        <v/>
      </c>
      <c r="Q54" s="34" t="n">
        <f aca="false">IF(L54&gt;$B$6,Q53,Q53+O54)</f>
        <v>20000</v>
      </c>
      <c r="R54" s="34" t="str">
        <f aca="false">IF(L54&gt;$B$6,"",Q54-MAX($Q$5:Q54))</f>
        <v/>
      </c>
    </row>
    <row r="55" customFormat="false" ht="15" hidden="false" customHeight="false" outlineLevel="0" collapsed="false">
      <c r="L55" s="0" t="n">
        <v>50</v>
      </c>
      <c r="M55" s="37" t="str">
        <f aca="false">IF(L55&gt;$B$6,"",INDEX(Journal!$P$7:$P$506,MATCH(L55,Journal!$AI$7:$AI$506,0)))</f>
        <v/>
      </c>
      <c r="N55" s="0" t="str">
        <f aca="false">IF(L55&gt;$B$6,"",INDEX(Journal!$A$7:$A$506,MATCH(L55,Journal!$AI$7:$AI$506,0)))</f>
        <v/>
      </c>
      <c r="O55" s="34" t="str">
        <f aca="false">IF(L55&gt;$B$6,"",INDEX(Journal!$AC$7:$AC$506,MATCH(L55,Journal!$AI$7:$AI$506,0)))</f>
        <v/>
      </c>
      <c r="P55" s="35" t="str">
        <f aca="false">IF(L55&gt;$B$6,"",INDEX(Journal!$AD$7:$AD$506,MATCH(L55,Journal!$AI$7:$AI$506,0)))</f>
        <v/>
      </c>
      <c r="Q55" s="34" t="n">
        <f aca="false">IF(L55&gt;$B$6,Q54,Q54+O55)</f>
        <v>20000</v>
      </c>
      <c r="R55" s="34" t="str">
        <f aca="false">IF(L55&gt;$B$6,"",Q55-MAX($Q$5:Q55))</f>
        <v/>
      </c>
    </row>
    <row r="56" customFormat="false" ht="15" hidden="false" customHeight="false" outlineLevel="0" collapsed="false">
      <c r="L56" s="0" t="n">
        <v>51</v>
      </c>
      <c r="M56" s="37" t="str">
        <f aca="false">IF(L56&gt;$B$6,"",INDEX(Journal!$P$7:$P$506,MATCH(L56,Journal!$AI$7:$AI$506,0)))</f>
        <v/>
      </c>
      <c r="N56" s="0" t="str">
        <f aca="false">IF(L56&gt;$B$6,"",INDEX(Journal!$A$7:$A$506,MATCH(L56,Journal!$AI$7:$AI$506,0)))</f>
        <v/>
      </c>
      <c r="O56" s="34" t="str">
        <f aca="false">IF(L56&gt;$B$6,"",INDEX(Journal!$AC$7:$AC$506,MATCH(L56,Journal!$AI$7:$AI$506,0)))</f>
        <v/>
      </c>
      <c r="P56" s="35" t="str">
        <f aca="false">IF(L56&gt;$B$6,"",INDEX(Journal!$AD$7:$AD$506,MATCH(L56,Journal!$AI$7:$AI$506,0)))</f>
        <v/>
      </c>
      <c r="Q56" s="34" t="n">
        <f aca="false">IF(L56&gt;$B$6,Q55,Q55+O56)</f>
        <v>20000</v>
      </c>
      <c r="R56" s="34" t="str">
        <f aca="false">IF(L56&gt;$B$6,"",Q56-MAX($Q$5:Q56))</f>
        <v/>
      </c>
    </row>
    <row r="57" customFormat="false" ht="15" hidden="false" customHeight="false" outlineLevel="0" collapsed="false">
      <c r="L57" s="0" t="n">
        <v>52</v>
      </c>
      <c r="M57" s="37" t="str">
        <f aca="false">IF(L57&gt;$B$6,"",INDEX(Journal!$P$7:$P$506,MATCH(L57,Journal!$AI$7:$AI$506,0)))</f>
        <v/>
      </c>
      <c r="N57" s="0" t="str">
        <f aca="false">IF(L57&gt;$B$6,"",INDEX(Journal!$A$7:$A$506,MATCH(L57,Journal!$AI$7:$AI$506,0)))</f>
        <v/>
      </c>
      <c r="O57" s="34" t="str">
        <f aca="false">IF(L57&gt;$B$6,"",INDEX(Journal!$AC$7:$AC$506,MATCH(L57,Journal!$AI$7:$AI$506,0)))</f>
        <v/>
      </c>
      <c r="P57" s="35" t="str">
        <f aca="false">IF(L57&gt;$B$6,"",INDEX(Journal!$AD$7:$AD$506,MATCH(L57,Journal!$AI$7:$AI$506,0)))</f>
        <v/>
      </c>
      <c r="Q57" s="34" t="n">
        <f aca="false">IF(L57&gt;$B$6,Q56,Q56+O57)</f>
        <v>20000</v>
      </c>
      <c r="R57" s="34" t="str">
        <f aca="false">IF(L57&gt;$B$6,"",Q57-MAX($Q$5:Q57))</f>
        <v/>
      </c>
    </row>
    <row r="58" customFormat="false" ht="15" hidden="false" customHeight="false" outlineLevel="0" collapsed="false">
      <c r="L58" s="0" t="n">
        <v>53</v>
      </c>
      <c r="M58" s="37" t="str">
        <f aca="false">IF(L58&gt;$B$6,"",INDEX(Journal!$P$7:$P$506,MATCH(L58,Journal!$AI$7:$AI$506,0)))</f>
        <v/>
      </c>
      <c r="N58" s="0" t="str">
        <f aca="false">IF(L58&gt;$B$6,"",INDEX(Journal!$A$7:$A$506,MATCH(L58,Journal!$AI$7:$AI$506,0)))</f>
        <v/>
      </c>
      <c r="O58" s="34" t="str">
        <f aca="false">IF(L58&gt;$B$6,"",INDEX(Journal!$AC$7:$AC$506,MATCH(L58,Journal!$AI$7:$AI$506,0)))</f>
        <v/>
      </c>
      <c r="P58" s="35" t="str">
        <f aca="false">IF(L58&gt;$B$6,"",INDEX(Journal!$AD$7:$AD$506,MATCH(L58,Journal!$AI$7:$AI$506,0)))</f>
        <v/>
      </c>
      <c r="Q58" s="34" t="n">
        <f aca="false">IF(L58&gt;$B$6,Q57,Q57+O58)</f>
        <v>20000</v>
      </c>
      <c r="R58" s="34" t="str">
        <f aca="false">IF(L58&gt;$B$6,"",Q58-MAX($Q$5:Q58))</f>
        <v/>
      </c>
    </row>
    <row r="59" customFormat="false" ht="15" hidden="false" customHeight="false" outlineLevel="0" collapsed="false">
      <c r="L59" s="0" t="n">
        <v>54</v>
      </c>
      <c r="M59" s="37" t="str">
        <f aca="false">IF(L59&gt;$B$6,"",INDEX(Journal!$P$7:$P$506,MATCH(L59,Journal!$AI$7:$AI$506,0)))</f>
        <v/>
      </c>
      <c r="N59" s="0" t="str">
        <f aca="false">IF(L59&gt;$B$6,"",INDEX(Journal!$A$7:$A$506,MATCH(L59,Journal!$AI$7:$AI$506,0)))</f>
        <v/>
      </c>
      <c r="O59" s="34" t="str">
        <f aca="false">IF(L59&gt;$B$6,"",INDEX(Journal!$AC$7:$AC$506,MATCH(L59,Journal!$AI$7:$AI$506,0)))</f>
        <v/>
      </c>
      <c r="P59" s="35" t="str">
        <f aca="false">IF(L59&gt;$B$6,"",INDEX(Journal!$AD$7:$AD$506,MATCH(L59,Journal!$AI$7:$AI$506,0)))</f>
        <v/>
      </c>
      <c r="Q59" s="34" t="n">
        <f aca="false">IF(L59&gt;$B$6,Q58,Q58+O59)</f>
        <v>20000</v>
      </c>
      <c r="R59" s="34" t="str">
        <f aca="false">IF(L59&gt;$B$6,"",Q59-MAX($Q$5:Q59))</f>
        <v/>
      </c>
    </row>
    <row r="60" customFormat="false" ht="15" hidden="false" customHeight="false" outlineLevel="0" collapsed="false">
      <c r="L60" s="0" t="n">
        <v>55</v>
      </c>
      <c r="M60" s="37" t="str">
        <f aca="false">IF(L60&gt;$B$6,"",INDEX(Journal!$P$7:$P$506,MATCH(L60,Journal!$AI$7:$AI$506,0)))</f>
        <v/>
      </c>
      <c r="N60" s="0" t="str">
        <f aca="false">IF(L60&gt;$B$6,"",INDEX(Journal!$A$7:$A$506,MATCH(L60,Journal!$AI$7:$AI$506,0)))</f>
        <v/>
      </c>
      <c r="O60" s="34" t="str">
        <f aca="false">IF(L60&gt;$B$6,"",INDEX(Journal!$AC$7:$AC$506,MATCH(L60,Journal!$AI$7:$AI$506,0)))</f>
        <v/>
      </c>
      <c r="P60" s="35" t="str">
        <f aca="false">IF(L60&gt;$B$6,"",INDEX(Journal!$AD$7:$AD$506,MATCH(L60,Journal!$AI$7:$AI$506,0)))</f>
        <v/>
      </c>
      <c r="Q60" s="34" t="n">
        <f aca="false">IF(L60&gt;$B$6,Q59,Q59+O60)</f>
        <v>20000</v>
      </c>
      <c r="R60" s="34" t="str">
        <f aca="false">IF(L60&gt;$B$6,"",Q60-MAX($Q$5:Q60))</f>
        <v/>
      </c>
    </row>
    <row r="61" customFormat="false" ht="15" hidden="false" customHeight="false" outlineLevel="0" collapsed="false">
      <c r="L61" s="0" t="n">
        <v>56</v>
      </c>
      <c r="M61" s="37" t="str">
        <f aca="false">IF(L61&gt;$B$6,"",INDEX(Journal!$P$7:$P$506,MATCH(L61,Journal!$AI$7:$AI$506,0)))</f>
        <v/>
      </c>
      <c r="N61" s="0" t="str">
        <f aca="false">IF(L61&gt;$B$6,"",INDEX(Journal!$A$7:$A$506,MATCH(L61,Journal!$AI$7:$AI$506,0)))</f>
        <v/>
      </c>
      <c r="O61" s="34" t="str">
        <f aca="false">IF(L61&gt;$B$6,"",INDEX(Journal!$AC$7:$AC$506,MATCH(L61,Journal!$AI$7:$AI$506,0)))</f>
        <v/>
      </c>
      <c r="P61" s="35" t="str">
        <f aca="false">IF(L61&gt;$B$6,"",INDEX(Journal!$AD$7:$AD$506,MATCH(L61,Journal!$AI$7:$AI$506,0)))</f>
        <v/>
      </c>
      <c r="Q61" s="34" t="n">
        <f aca="false">IF(L61&gt;$B$6,Q60,Q60+O61)</f>
        <v>20000</v>
      </c>
      <c r="R61" s="34" t="str">
        <f aca="false">IF(L61&gt;$B$6,"",Q61-MAX($Q$5:Q61))</f>
        <v/>
      </c>
    </row>
    <row r="62" customFormat="false" ht="15" hidden="false" customHeight="false" outlineLevel="0" collapsed="false">
      <c r="L62" s="0" t="n">
        <v>57</v>
      </c>
      <c r="M62" s="37" t="str">
        <f aca="false">IF(L62&gt;$B$6,"",INDEX(Journal!$P$7:$P$506,MATCH(L62,Journal!$AI$7:$AI$506,0)))</f>
        <v/>
      </c>
      <c r="N62" s="0" t="str">
        <f aca="false">IF(L62&gt;$B$6,"",INDEX(Journal!$A$7:$A$506,MATCH(L62,Journal!$AI$7:$AI$506,0)))</f>
        <v/>
      </c>
      <c r="O62" s="34" t="str">
        <f aca="false">IF(L62&gt;$B$6,"",INDEX(Journal!$AC$7:$AC$506,MATCH(L62,Journal!$AI$7:$AI$506,0)))</f>
        <v/>
      </c>
      <c r="P62" s="35" t="str">
        <f aca="false">IF(L62&gt;$B$6,"",INDEX(Journal!$AD$7:$AD$506,MATCH(L62,Journal!$AI$7:$AI$506,0)))</f>
        <v/>
      </c>
      <c r="Q62" s="34" t="n">
        <f aca="false">IF(L62&gt;$B$6,Q61,Q61+O62)</f>
        <v>20000</v>
      </c>
      <c r="R62" s="34" t="str">
        <f aca="false">IF(L62&gt;$B$6,"",Q62-MAX($Q$5:Q62))</f>
        <v/>
      </c>
    </row>
    <row r="63" customFormat="false" ht="15" hidden="false" customHeight="false" outlineLevel="0" collapsed="false">
      <c r="L63" s="0" t="n">
        <v>58</v>
      </c>
      <c r="M63" s="37" t="str">
        <f aca="false">IF(L63&gt;$B$6,"",INDEX(Journal!$P$7:$P$506,MATCH(L63,Journal!$AI$7:$AI$506,0)))</f>
        <v/>
      </c>
      <c r="N63" s="0" t="str">
        <f aca="false">IF(L63&gt;$B$6,"",INDEX(Journal!$A$7:$A$506,MATCH(L63,Journal!$AI$7:$AI$506,0)))</f>
        <v/>
      </c>
      <c r="O63" s="34" t="str">
        <f aca="false">IF(L63&gt;$B$6,"",INDEX(Journal!$AC$7:$AC$506,MATCH(L63,Journal!$AI$7:$AI$506,0)))</f>
        <v/>
      </c>
      <c r="P63" s="35" t="str">
        <f aca="false">IF(L63&gt;$B$6,"",INDEX(Journal!$AD$7:$AD$506,MATCH(L63,Journal!$AI$7:$AI$506,0)))</f>
        <v/>
      </c>
      <c r="Q63" s="34" t="n">
        <f aca="false">IF(L63&gt;$B$6,Q62,Q62+O63)</f>
        <v>20000</v>
      </c>
      <c r="R63" s="34" t="str">
        <f aca="false">IF(L63&gt;$B$6,"",Q63-MAX($Q$5:Q63))</f>
        <v/>
      </c>
    </row>
    <row r="64" customFormat="false" ht="15" hidden="false" customHeight="false" outlineLevel="0" collapsed="false">
      <c r="L64" s="0" t="n">
        <v>59</v>
      </c>
      <c r="M64" s="37" t="str">
        <f aca="false">IF(L64&gt;$B$6,"",INDEX(Journal!$P$7:$P$506,MATCH(L64,Journal!$AI$7:$AI$506,0)))</f>
        <v/>
      </c>
      <c r="N64" s="0" t="str">
        <f aca="false">IF(L64&gt;$B$6,"",INDEX(Journal!$A$7:$A$506,MATCH(L64,Journal!$AI$7:$AI$506,0)))</f>
        <v/>
      </c>
      <c r="O64" s="34" t="str">
        <f aca="false">IF(L64&gt;$B$6,"",INDEX(Journal!$AC$7:$AC$506,MATCH(L64,Journal!$AI$7:$AI$506,0)))</f>
        <v/>
      </c>
      <c r="P64" s="35" t="str">
        <f aca="false">IF(L64&gt;$B$6,"",INDEX(Journal!$AD$7:$AD$506,MATCH(L64,Journal!$AI$7:$AI$506,0)))</f>
        <v/>
      </c>
      <c r="Q64" s="34" t="n">
        <f aca="false">IF(L64&gt;$B$6,Q63,Q63+O64)</f>
        <v>20000</v>
      </c>
      <c r="R64" s="34" t="str">
        <f aca="false">IF(L64&gt;$B$6,"",Q64-MAX($Q$5:Q64))</f>
        <v/>
      </c>
    </row>
    <row r="65" customFormat="false" ht="15" hidden="false" customHeight="false" outlineLevel="0" collapsed="false">
      <c r="L65" s="0" t="n">
        <v>60</v>
      </c>
      <c r="M65" s="37" t="str">
        <f aca="false">IF(L65&gt;$B$6,"",INDEX(Journal!$P$7:$P$506,MATCH(L65,Journal!$AI$7:$AI$506,0)))</f>
        <v/>
      </c>
      <c r="N65" s="0" t="str">
        <f aca="false">IF(L65&gt;$B$6,"",INDEX(Journal!$A$7:$A$506,MATCH(L65,Journal!$AI$7:$AI$506,0)))</f>
        <v/>
      </c>
      <c r="O65" s="34" t="str">
        <f aca="false">IF(L65&gt;$B$6,"",INDEX(Journal!$AC$7:$AC$506,MATCH(L65,Journal!$AI$7:$AI$506,0)))</f>
        <v/>
      </c>
      <c r="P65" s="35" t="str">
        <f aca="false">IF(L65&gt;$B$6,"",INDEX(Journal!$AD$7:$AD$506,MATCH(L65,Journal!$AI$7:$AI$506,0)))</f>
        <v/>
      </c>
      <c r="Q65" s="34" t="n">
        <f aca="false">IF(L65&gt;$B$6,Q64,Q64+O65)</f>
        <v>20000</v>
      </c>
      <c r="R65" s="34" t="str">
        <f aca="false">IF(L65&gt;$B$6,"",Q65-MAX($Q$5:Q65))</f>
        <v/>
      </c>
    </row>
    <row r="66" customFormat="false" ht="15" hidden="false" customHeight="false" outlineLevel="0" collapsed="false">
      <c r="L66" s="0" t="n">
        <v>61</v>
      </c>
      <c r="M66" s="37" t="str">
        <f aca="false">IF(L66&gt;$B$6,"",INDEX(Journal!$P$7:$P$506,MATCH(L66,Journal!$AI$7:$AI$506,0)))</f>
        <v/>
      </c>
      <c r="N66" s="0" t="str">
        <f aca="false">IF(L66&gt;$B$6,"",INDEX(Journal!$A$7:$A$506,MATCH(L66,Journal!$AI$7:$AI$506,0)))</f>
        <v/>
      </c>
      <c r="O66" s="34" t="str">
        <f aca="false">IF(L66&gt;$B$6,"",INDEX(Journal!$AC$7:$AC$506,MATCH(L66,Journal!$AI$7:$AI$506,0)))</f>
        <v/>
      </c>
      <c r="P66" s="35" t="str">
        <f aca="false">IF(L66&gt;$B$6,"",INDEX(Journal!$AD$7:$AD$506,MATCH(L66,Journal!$AI$7:$AI$506,0)))</f>
        <v/>
      </c>
      <c r="Q66" s="34" t="n">
        <f aca="false">IF(L66&gt;$B$6,Q65,Q65+O66)</f>
        <v>20000</v>
      </c>
      <c r="R66" s="34" t="str">
        <f aca="false">IF(L66&gt;$B$6,"",Q66-MAX($Q$5:Q66))</f>
        <v/>
      </c>
    </row>
    <row r="67" customFormat="false" ht="15" hidden="false" customHeight="false" outlineLevel="0" collapsed="false">
      <c r="L67" s="0" t="n">
        <v>62</v>
      </c>
      <c r="M67" s="37" t="str">
        <f aca="false">IF(L67&gt;$B$6,"",INDEX(Journal!$P$7:$P$506,MATCH(L67,Journal!$AI$7:$AI$506,0)))</f>
        <v/>
      </c>
      <c r="N67" s="0" t="str">
        <f aca="false">IF(L67&gt;$B$6,"",INDEX(Journal!$A$7:$A$506,MATCH(L67,Journal!$AI$7:$AI$506,0)))</f>
        <v/>
      </c>
      <c r="O67" s="34" t="str">
        <f aca="false">IF(L67&gt;$B$6,"",INDEX(Journal!$AC$7:$AC$506,MATCH(L67,Journal!$AI$7:$AI$506,0)))</f>
        <v/>
      </c>
      <c r="P67" s="35" t="str">
        <f aca="false">IF(L67&gt;$B$6,"",INDEX(Journal!$AD$7:$AD$506,MATCH(L67,Journal!$AI$7:$AI$506,0)))</f>
        <v/>
      </c>
      <c r="Q67" s="34" t="n">
        <f aca="false">IF(L67&gt;$B$6,Q66,Q66+O67)</f>
        <v>20000</v>
      </c>
      <c r="R67" s="34" t="str">
        <f aca="false">IF(L67&gt;$B$6,"",Q67-MAX($Q$5:Q67))</f>
        <v/>
      </c>
    </row>
    <row r="68" customFormat="false" ht="15" hidden="false" customHeight="false" outlineLevel="0" collapsed="false">
      <c r="L68" s="0" t="n">
        <v>63</v>
      </c>
      <c r="M68" s="37" t="str">
        <f aca="false">IF(L68&gt;$B$6,"",INDEX(Journal!$P$7:$P$506,MATCH(L68,Journal!$AI$7:$AI$506,0)))</f>
        <v/>
      </c>
      <c r="N68" s="0" t="str">
        <f aca="false">IF(L68&gt;$B$6,"",INDEX(Journal!$A$7:$A$506,MATCH(L68,Journal!$AI$7:$AI$506,0)))</f>
        <v/>
      </c>
      <c r="O68" s="34" t="str">
        <f aca="false">IF(L68&gt;$B$6,"",INDEX(Journal!$AC$7:$AC$506,MATCH(L68,Journal!$AI$7:$AI$506,0)))</f>
        <v/>
      </c>
      <c r="P68" s="35" t="str">
        <f aca="false">IF(L68&gt;$B$6,"",INDEX(Journal!$AD$7:$AD$506,MATCH(L68,Journal!$AI$7:$AI$506,0)))</f>
        <v/>
      </c>
      <c r="Q68" s="34" t="n">
        <f aca="false">IF(L68&gt;$B$6,Q67,Q67+O68)</f>
        <v>20000</v>
      </c>
      <c r="R68" s="34" t="str">
        <f aca="false">IF(L68&gt;$B$6,"",Q68-MAX($Q$5:Q68))</f>
        <v/>
      </c>
    </row>
    <row r="69" customFormat="false" ht="15" hidden="false" customHeight="false" outlineLevel="0" collapsed="false">
      <c r="L69" s="0" t="n">
        <v>64</v>
      </c>
      <c r="M69" s="37" t="str">
        <f aca="false">IF(L69&gt;$B$6,"",INDEX(Journal!$P$7:$P$506,MATCH(L69,Journal!$AI$7:$AI$506,0)))</f>
        <v/>
      </c>
      <c r="N69" s="0" t="str">
        <f aca="false">IF(L69&gt;$B$6,"",INDEX(Journal!$A$7:$A$506,MATCH(L69,Journal!$AI$7:$AI$506,0)))</f>
        <v/>
      </c>
      <c r="O69" s="34" t="str">
        <f aca="false">IF(L69&gt;$B$6,"",INDEX(Journal!$AC$7:$AC$506,MATCH(L69,Journal!$AI$7:$AI$506,0)))</f>
        <v/>
      </c>
      <c r="P69" s="35" t="str">
        <f aca="false">IF(L69&gt;$B$6,"",INDEX(Journal!$AD$7:$AD$506,MATCH(L69,Journal!$AI$7:$AI$506,0)))</f>
        <v/>
      </c>
      <c r="Q69" s="34" t="n">
        <f aca="false">IF(L69&gt;$B$6,Q68,Q68+O69)</f>
        <v>20000</v>
      </c>
      <c r="R69" s="34" t="str">
        <f aca="false">IF(L69&gt;$B$6,"",Q69-MAX($Q$5:Q69))</f>
        <v/>
      </c>
    </row>
    <row r="70" customFormat="false" ht="15" hidden="false" customHeight="false" outlineLevel="0" collapsed="false">
      <c r="L70" s="0" t="n">
        <v>65</v>
      </c>
      <c r="M70" s="37" t="str">
        <f aca="false">IF(L70&gt;$B$6,"",INDEX(Journal!$P$7:$P$506,MATCH(L70,Journal!$AI$7:$AI$506,0)))</f>
        <v/>
      </c>
      <c r="N70" s="0" t="str">
        <f aca="false">IF(L70&gt;$B$6,"",INDEX(Journal!$A$7:$A$506,MATCH(L70,Journal!$AI$7:$AI$506,0)))</f>
        <v/>
      </c>
      <c r="O70" s="34" t="str">
        <f aca="false">IF(L70&gt;$B$6,"",INDEX(Journal!$AC$7:$AC$506,MATCH(L70,Journal!$AI$7:$AI$506,0)))</f>
        <v/>
      </c>
      <c r="P70" s="35" t="str">
        <f aca="false">IF(L70&gt;$B$6,"",INDEX(Journal!$AD$7:$AD$506,MATCH(L70,Journal!$AI$7:$AI$506,0)))</f>
        <v/>
      </c>
      <c r="Q70" s="34" t="n">
        <f aca="false">IF(L70&gt;$B$6,Q69,Q69+O70)</f>
        <v>20000</v>
      </c>
      <c r="R70" s="34" t="str">
        <f aca="false">IF(L70&gt;$B$6,"",Q70-MAX($Q$5:Q70))</f>
        <v/>
      </c>
    </row>
    <row r="71" customFormat="false" ht="15" hidden="false" customHeight="false" outlineLevel="0" collapsed="false">
      <c r="L71" s="0" t="n">
        <v>66</v>
      </c>
      <c r="M71" s="37" t="str">
        <f aca="false">IF(L71&gt;$B$6,"",INDEX(Journal!$P$7:$P$506,MATCH(L71,Journal!$AI$7:$AI$506,0)))</f>
        <v/>
      </c>
      <c r="N71" s="0" t="str">
        <f aca="false">IF(L71&gt;$B$6,"",INDEX(Journal!$A$7:$A$506,MATCH(L71,Journal!$AI$7:$AI$506,0)))</f>
        <v/>
      </c>
      <c r="O71" s="34" t="str">
        <f aca="false">IF(L71&gt;$B$6,"",INDEX(Journal!$AC$7:$AC$506,MATCH(L71,Journal!$AI$7:$AI$506,0)))</f>
        <v/>
      </c>
      <c r="P71" s="35" t="str">
        <f aca="false">IF(L71&gt;$B$6,"",INDEX(Journal!$AD$7:$AD$506,MATCH(L71,Journal!$AI$7:$AI$506,0)))</f>
        <v/>
      </c>
      <c r="Q71" s="34" t="n">
        <f aca="false">IF(L71&gt;$B$6,Q70,Q70+O71)</f>
        <v>20000</v>
      </c>
      <c r="R71" s="34" t="str">
        <f aca="false">IF(L71&gt;$B$6,"",Q71-MAX($Q$5:Q71))</f>
        <v/>
      </c>
    </row>
    <row r="72" customFormat="false" ht="15" hidden="false" customHeight="false" outlineLevel="0" collapsed="false">
      <c r="L72" s="0" t="n">
        <v>67</v>
      </c>
      <c r="M72" s="37" t="str">
        <f aca="false">IF(L72&gt;$B$6,"",INDEX(Journal!$P$7:$P$506,MATCH(L72,Journal!$AI$7:$AI$506,0)))</f>
        <v/>
      </c>
      <c r="N72" s="0" t="str">
        <f aca="false">IF(L72&gt;$B$6,"",INDEX(Journal!$A$7:$A$506,MATCH(L72,Journal!$AI$7:$AI$506,0)))</f>
        <v/>
      </c>
      <c r="O72" s="34" t="str">
        <f aca="false">IF(L72&gt;$B$6,"",INDEX(Journal!$AC$7:$AC$506,MATCH(L72,Journal!$AI$7:$AI$506,0)))</f>
        <v/>
      </c>
      <c r="P72" s="35" t="str">
        <f aca="false">IF(L72&gt;$B$6,"",INDEX(Journal!$AD$7:$AD$506,MATCH(L72,Journal!$AI$7:$AI$506,0)))</f>
        <v/>
      </c>
      <c r="Q72" s="34" t="n">
        <f aca="false">IF(L72&gt;$B$6,Q71,Q71+O72)</f>
        <v>20000</v>
      </c>
      <c r="R72" s="34" t="str">
        <f aca="false">IF(L72&gt;$B$6,"",Q72-MAX($Q$5:Q72))</f>
        <v/>
      </c>
    </row>
    <row r="73" customFormat="false" ht="15" hidden="false" customHeight="false" outlineLevel="0" collapsed="false">
      <c r="L73" s="0" t="n">
        <v>68</v>
      </c>
      <c r="M73" s="37" t="str">
        <f aca="false">IF(L73&gt;$B$6,"",INDEX(Journal!$P$7:$P$506,MATCH(L73,Journal!$AI$7:$AI$506,0)))</f>
        <v/>
      </c>
      <c r="N73" s="0" t="str">
        <f aca="false">IF(L73&gt;$B$6,"",INDEX(Journal!$A$7:$A$506,MATCH(L73,Journal!$AI$7:$AI$506,0)))</f>
        <v/>
      </c>
      <c r="O73" s="34" t="str">
        <f aca="false">IF(L73&gt;$B$6,"",INDEX(Journal!$AC$7:$AC$506,MATCH(L73,Journal!$AI$7:$AI$506,0)))</f>
        <v/>
      </c>
      <c r="P73" s="35" t="str">
        <f aca="false">IF(L73&gt;$B$6,"",INDEX(Journal!$AD$7:$AD$506,MATCH(L73,Journal!$AI$7:$AI$506,0)))</f>
        <v/>
      </c>
      <c r="Q73" s="34" t="n">
        <f aca="false">IF(L73&gt;$B$6,Q72,Q72+O73)</f>
        <v>20000</v>
      </c>
      <c r="R73" s="34" t="str">
        <f aca="false">IF(L73&gt;$B$6,"",Q73-MAX($Q$5:Q73))</f>
        <v/>
      </c>
    </row>
    <row r="74" customFormat="false" ht="15" hidden="false" customHeight="false" outlineLevel="0" collapsed="false">
      <c r="L74" s="0" t="n">
        <v>69</v>
      </c>
      <c r="M74" s="37" t="str">
        <f aca="false">IF(L74&gt;$B$6,"",INDEX(Journal!$P$7:$P$506,MATCH(L74,Journal!$AI$7:$AI$506,0)))</f>
        <v/>
      </c>
      <c r="N74" s="0" t="str">
        <f aca="false">IF(L74&gt;$B$6,"",INDEX(Journal!$A$7:$A$506,MATCH(L74,Journal!$AI$7:$AI$506,0)))</f>
        <v/>
      </c>
      <c r="O74" s="34" t="str">
        <f aca="false">IF(L74&gt;$B$6,"",INDEX(Journal!$AC$7:$AC$506,MATCH(L74,Journal!$AI$7:$AI$506,0)))</f>
        <v/>
      </c>
      <c r="P74" s="35" t="str">
        <f aca="false">IF(L74&gt;$B$6,"",INDEX(Journal!$AD$7:$AD$506,MATCH(L74,Journal!$AI$7:$AI$506,0)))</f>
        <v/>
      </c>
      <c r="Q74" s="34" t="n">
        <f aca="false">IF(L74&gt;$B$6,Q73,Q73+O74)</f>
        <v>20000</v>
      </c>
      <c r="R74" s="34" t="str">
        <f aca="false">IF(L74&gt;$B$6,"",Q74-MAX($Q$5:Q74))</f>
        <v/>
      </c>
    </row>
    <row r="75" customFormat="false" ht="15" hidden="false" customHeight="false" outlineLevel="0" collapsed="false">
      <c r="L75" s="0" t="n">
        <v>70</v>
      </c>
      <c r="M75" s="37" t="str">
        <f aca="false">IF(L75&gt;$B$6,"",INDEX(Journal!$P$7:$P$506,MATCH(L75,Journal!$AI$7:$AI$506,0)))</f>
        <v/>
      </c>
      <c r="N75" s="0" t="str">
        <f aca="false">IF(L75&gt;$B$6,"",INDEX(Journal!$A$7:$A$506,MATCH(L75,Journal!$AI$7:$AI$506,0)))</f>
        <v/>
      </c>
      <c r="O75" s="34" t="str">
        <f aca="false">IF(L75&gt;$B$6,"",INDEX(Journal!$AC$7:$AC$506,MATCH(L75,Journal!$AI$7:$AI$506,0)))</f>
        <v/>
      </c>
      <c r="P75" s="35" t="str">
        <f aca="false">IF(L75&gt;$B$6,"",INDEX(Journal!$AD$7:$AD$506,MATCH(L75,Journal!$AI$7:$AI$506,0)))</f>
        <v/>
      </c>
      <c r="Q75" s="34" t="n">
        <f aca="false">IF(L75&gt;$B$6,Q74,Q74+O75)</f>
        <v>20000</v>
      </c>
      <c r="R75" s="34" t="str">
        <f aca="false">IF(L75&gt;$B$6,"",Q75-MAX($Q$5:Q75))</f>
        <v/>
      </c>
    </row>
    <row r="76" customFormat="false" ht="15" hidden="false" customHeight="false" outlineLevel="0" collapsed="false">
      <c r="L76" s="0" t="n">
        <v>71</v>
      </c>
      <c r="M76" s="37" t="str">
        <f aca="false">IF(L76&gt;$B$6,"",INDEX(Journal!$P$7:$P$506,MATCH(L76,Journal!$AI$7:$AI$506,0)))</f>
        <v/>
      </c>
      <c r="N76" s="0" t="str">
        <f aca="false">IF(L76&gt;$B$6,"",INDEX(Journal!$A$7:$A$506,MATCH(L76,Journal!$AI$7:$AI$506,0)))</f>
        <v/>
      </c>
      <c r="O76" s="34" t="str">
        <f aca="false">IF(L76&gt;$B$6,"",INDEX(Journal!$AC$7:$AC$506,MATCH(L76,Journal!$AI$7:$AI$506,0)))</f>
        <v/>
      </c>
      <c r="P76" s="35" t="str">
        <f aca="false">IF(L76&gt;$B$6,"",INDEX(Journal!$AD$7:$AD$506,MATCH(L76,Journal!$AI$7:$AI$506,0)))</f>
        <v/>
      </c>
      <c r="Q76" s="34" t="n">
        <f aca="false">IF(L76&gt;$B$6,Q75,Q75+O76)</f>
        <v>20000</v>
      </c>
      <c r="R76" s="34" t="str">
        <f aca="false">IF(L76&gt;$B$6,"",Q76-MAX($Q$5:Q76))</f>
        <v/>
      </c>
    </row>
    <row r="77" customFormat="false" ht="15" hidden="false" customHeight="false" outlineLevel="0" collapsed="false">
      <c r="L77" s="0" t="n">
        <v>72</v>
      </c>
      <c r="M77" s="37" t="str">
        <f aca="false">IF(L77&gt;$B$6,"",INDEX(Journal!$P$7:$P$506,MATCH(L77,Journal!$AI$7:$AI$506,0)))</f>
        <v/>
      </c>
      <c r="N77" s="0" t="str">
        <f aca="false">IF(L77&gt;$B$6,"",INDEX(Journal!$A$7:$A$506,MATCH(L77,Journal!$AI$7:$AI$506,0)))</f>
        <v/>
      </c>
      <c r="O77" s="34" t="str">
        <f aca="false">IF(L77&gt;$B$6,"",INDEX(Journal!$AC$7:$AC$506,MATCH(L77,Journal!$AI$7:$AI$506,0)))</f>
        <v/>
      </c>
      <c r="P77" s="35" t="str">
        <f aca="false">IF(L77&gt;$B$6,"",INDEX(Journal!$AD$7:$AD$506,MATCH(L77,Journal!$AI$7:$AI$506,0)))</f>
        <v/>
      </c>
      <c r="Q77" s="34" t="n">
        <f aca="false">IF(L77&gt;$B$6,Q76,Q76+O77)</f>
        <v>20000</v>
      </c>
      <c r="R77" s="34" t="str">
        <f aca="false">IF(L77&gt;$B$6,"",Q77-MAX($Q$5:Q77))</f>
        <v/>
      </c>
    </row>
    <row r="78" customFormat="false" ht="15" hidden="false" customHeight="false" outlineLevel="0" collapsed="false">
      <c r="L78" s="0" t="n">
        <v>73</v>
      </c>
      <c r="M78" s="37" t="str">
        <f aca="false">IF(L78&gt;$B$6,"",INDEX(Journal!$P$7:$P$506,MATCH(L78,Journal!$AI$7:$AI$506,0)))</f>
        <v/>
      </c>
      <c r="N78" s="0" t="str">
        <f aca="false">IF(L78&gt;$B$6,"",INDEX(Journal!$A$7:$A$506,MATCH(L78,Journal!$AI$7:$AI$506,0)))</f>
        <v/>
      </c>
      <c r="O78" s="34" t="str">
        <f aca="false">IF(L78&gt;$B$6,"",INDEX(Journal!$AC$7:$AC$506,MATCH(L78,Journal!$AI$7:$AI$506,0)))</f>
        <v/>
      </c>
      <c r="P78" s="35" t="str">
        <f aca="false">IF(L78&gt;$B$6,"",INDEX(Journal!$AD$7:$AD$506,MATCH(L78,Journal!$AI$7:$AI$506,0)))</f>
        <v/>
      </c>
      <c r="Q78" s="34" t="n">
        <f aca="false">IF(L78&gt;$B$6,Q77,Q77+O78)</f>
        <v>20000</v>
      </c>
      <c r="R78" s="34" t="str">
        <f aca="false">IF(L78&gt;$B$6,"",Q78-MAX($Q$5:Q78))</f>
        <v/>
      </c>
    </row>
    <row r="79" customFormat="false" ht="15" hidden="false" customHeight="false" outlineLevel="0" collapsed="false">
      <c r="L79" s="0" t="n">
        <v>74</v>
      </c>
      <c r="M79" s="37" t="str">
        <f aca="false">IF(L79&gt;$B$6,"",INDEX(Journal!$P$7:$P$506,MATCH(L79,Journal!$AI$7:$AI$506,0)))</f>
        <v/>
      </c>
      <c r="N79" s="0" t="str">
        <f aca="false">IF(L79&gt;$B$6,"",INDEX(Journal!$A$7:$A$506,MATCH(L79,Journal!$AI$7:$AI$506,0)))</f>
        <v/>
      </c>
      <c r="O79" s="34" t="str">
        <f aca="false">IF(L79&gt;$B$6,"",INDEX(Journal!$AC$7:$AC$506,MATCH(L79,Journal!$AI$7:$AI$506,0)))</f>
        <v/>
      </c>
      <c r="P79" s="35" t="str">
        <f aca="false">IF(L79&gt;$B$6,"",INDEX(Journal!$AD$7:$AD$506,MATCH(L79,Journal!$AI$7:$AI$506,0)))</f>
        <v/>
      </c>
      <c r="Q79" s="34" t="n">
        <f aca="false">IF(L79&gt;$B$6,Q78,Q78+O79)</f>
        <v>20000</v>
      </c>
      <c r="R79" s="34" t="str">
        <f aca="false">IF(L79&gt;$B$6,"",Q79-MAX($Q$5:Q79))</f>
        <v/>
      </c>
    </row>
    <row r="80" customFormat="false" ht="15" hidden="false" customHeight="false" outlineLevel="0" collapsed="false">
      <c r="L80" s="0" t="n">
        <v>75</v>
      </c>
      <c r="M80" s="37" t="str">
        <f aca="false">IF(L80&gt;$B$6,"",INDEX(Journal!$P$7:$P$506,MATCH(L80,Journal!$AI$7:$AI$506,0)))</f>
        <v/>
      </c>
      <c r="N80" s="0" t="str">
        <f aca="false">IF(L80&gt;$B$6,"",INDEX(Journal!$A$7:$A$506,MATCH(L80,Journal!$AI$7:$AI$506,0)))</f>
        <v/>
      </c>
      <c r="O80" s="34" t="str">
        <f aca="false">IF(L80&gt;$B$6,"",INDEX(Journal!$AC$7:$AC$506,MATCH(L80,Journal!$AI$7:$AI$506,0)))</f>
        <v/>
      </c>
      <c r="P80" s="35" t="str">
        <f aca="false">IF(L80&gt;$B$6,"",INDEX(Journal!$AD$7:$AD$506,MATCH(L80,Journal!$AI$7:$AI$506,0)))</f>
        <v/>
      </c>
      <c r="Q80" s="34" t="n">
        <f aca="false">IF(L80&gt;$B$6,Q79,Q79+O80)</f>
        <v>20000</v>
      </c>
      <c r="R80" s="34" t="str">
        <f aca="false">IF(L80&gt;$B$6,"",Q80-MAX($Q$5:Q80))</f>
        <v/>
      </c>
    </row>
    <row r="81" customFormat="false" ht="15" hidden="false" customHeight="false" outlineLevel="0" collapsed="false">
      <c r="L81" s="0" t="n">
        <v>76</v>
      </c>
      <c r="M81" s="37" t="str">
        <f aca="false">IF(L81&gt;$B$6,"",INDEX(Journal!$P$7:$P$506,MATCH(L81,Journal!$AI$7:$AI$506,0)))</f>
        <v/>
      </c>
      <c r="N81" s="0" t="str">
        <f aca="false">IF(L81&gt;$B$6,"",INDEX(Journal!$A$7:$A$506,MATCH(L81,Journal!$AI$7:$AI$506,0)))</f>
        <v/>
      </c>
      <c r="O81" s="34" t="str">
        <f aca="false">IF(L81&gt;$B$6,"",INDEX(Journal!$AC$7:$AC$506,MATCH(L81,Journal!$AI$7:$AI$506,0)))</f>
        <v/>
      </c>
      <c r="P81" s="35" t="str">
        <f aca="false">IF(L81&gt;$B$6,"",INDEX(Journal!$AD$7:$AD$506,MATCH(L81,Journal!$AI$7:$AI$506,0)))</f>
        <v/>
      </c>
      <c r="Q81" s="34" t="n">
        <f aca="false">IF(L81&gt;$B$6,Q80,Q80+O81)</f>
        <v>20000</v>
      </c>
      <c r="R81" s="34" t="str">
        <f aca="false">IF(L81&gt;$B$6,"",Q81-MAX($Q$5:Q81))</f>
        <v/>
      </c>
    </row>
    <row r="82" customFormat="false" ht="15" hidden="false" customHeight="false" outlineLevel="0" collapsed="false">
      <c r="L82" s="0" t="n">
        <v>77</v>
      </c>
      <c r="M82" s="37" t="str">
        <f aca="false">IF(L82&gt;$B$6,"",INDEX(Journal!$P$7:$P$506,MATCH(L82,Journal!$AI$7:$AI$506,0)))</f>
        <v/>
      </c>
      <c r="N82" s="0" t="str">
        <f aca="false">IF(L82&gt;$B$6,"",INDEX(Journal!$A$7:$A$506,MATCH(L82,Journal!$AI$7:$AI$506,0)))</f>
        <v/>
      </c>
      <c r="O82" s="34" t="str">
        <f aca="false">IF(L82&gt;$B$6,"",INDEX(Journal!$AC$7:$AC$506,MATCH(L82,Journal!$AI$7:$AI$506,0)))</f>
        <v/>
      </c>
      <c r="P82" s="35" t="str">
        <f aca="false">IF(L82&gt;$B$6,"",INDEX(Journal!$AD$7:$AD$506,MATCH(L82,Journal!$AI$7:$AI$506,0)))</f>
        <v/>
      </c>
      <c r="Q82" s="34" t="n">
        <f aca="false">IF(L82&gt;$B$6,Q81,Q81+O82)</f>
        <v>20000</v>
      </c>
      <c r="R82" s="34" t="str">
        <f aca="false">IF(L82&gt;$B$6,"",Q82-MAX($Q$5:Q82))</f>
        <v/>
      </c>
    </row>
    <row r="83" customFormat="false" ht="15" hidden="false" customHeight="false" outlineLevel="0" collapsed="false">
      <c r="L83" s="0" t="n">
        <v>78</v>
      </c>
      <c r="M83" s="37" t="str">
        <f aca="false">IF(L83&gt;$B$6,"",INDEX(Journal!$P$7:$P$506,MATCH(L83,Journal!$AI$7:$AI$506,0)))</f>
        <v/>
      </c>
      <c r="N83" s="0" t="str">
        <f aca="false">IF(L83&gt;$B$6,"",INDEX(Journal!$A$7:$A$506,MATCH(L83,Journal!$AI$7:$AI$506,0)))</f>
        <v/>
      </c>
      <c r="O83" s="34" t="str">
        <f aca="false">IF(L83&gt;$B$6,"",INDEX(Journal!$AC$7:$AC$506,MATCH(L83,Journal!$AI$7:$AI$506,0)))</f>
        <v/>
      </c>
      <c r="P83" s="35" t="str">
        <f aca="false">IF(L83&gt;$B$6,"",INDEX(Journal!$AD$7:$AD$506,MATCH(L83,Journal!$AI$7:$AI$506,0)))</f>
        <v/>
      </c>
      <c r="Q83" s="34" t="n">
        <f aca="false">IF(L83&gt;$B$6,Q82,Q82+O83)</f>
        <v>20000</v>
      </c>
      <c r="R83" s="34" t="str">
        <f aca="false">IF(L83&gt;$B$6,"",Q83-MAX($Q$5:Q83))</f>
        <v/>
      </c>
    </row>
    <row r="84" customFormat="false" ht="15" hidden="false" customHeight="false" outlineLevel="0" collapsed="false">
      <c r="L84" s="0" t="n">
        <v>79</v>
      </c>
      <c r="M84" s="37" t="str">
        <f aca="false">IF(L84&gt;$B$6,"",INDEX(Journal!$P$7:$P$506,MATCH(L84,Journal!$AI$7:$AI$506,0)))</f>
        <v/>
      </c>
      <c r="N84" s="0" t="str">
        <f aca="false">IF(L84&gt;$B$6,"",INDEX(Journal!$A$7:$A$506,MATCH(L84,Journal!$AI$7:$AI$506,0)))</f>
        <v/>
      </c>
      <c r="O84" s="34" t="str">
        <f aca="false">IF(L84&gt;$B$6,"",INDEX(Journal!$AC$7:$AC$506,MATCH(L84,Journal!$AI$7:$AI$506,0)))</f>
        <v/>
      </c>
      <c r="P84" s="35" t="str">
        <f aca="false">IF(L84&gt;$B$6,"",INDEX(Journal!$AD$7:$AD$506,MATCH(L84,Journal!$AI$7:$AI$506,0)))</f>
        <v/>
      </c>
      <c r="Q84" s="34" t="n">
        <f aca="false">IF(L84&gt;$B$6,Q83,Q83+O84)</f>
        <v>20000</v>
      </c>
      <c r="R84" s="34" t="str">
        <f aca="false">IF(L84&gt;$B$6,"",Q84-MAX($Q$5:Q84))</f>
        <v/>
      </c>
    </row>
    <row r="85" customFormat="false" ht="15" hidden="false" customHeight="false" outlineLevel="0" collapsed="false">
      <c r="L85" s="0" t="n">
        <v>80</v>
      </c>
      <c r="M85" s="37" t="str">
        <f aca="false">IF(L85&gt;$B$6,"",INDEX(Journal!$P$7:$P$506,MATCH(L85,Journal!$AI$7:$AI$506,0)))</f>
        <v/>
      </c>
      <c r="N85" s="0" t="str">
        <f aca="false">IF(L85&gt;$B$6,"",INDEX(Journal!$A$7:$A$506,MATCH(L85,Journal!$AI$7:$AI$506,0)))</f>
        <v/>
      </c>
      <c r="O85" s="34" t="str">
        <f aca="false">IF(L85&gt;$B$6,"",INDEX(Journal!$AC$7:$AC$506,MATCH(L85,Journal!$AI$7:$AI$506,0)))</f>
        <v/>
      </c>
      <c r="P85" s="35" t="str">
        <f aca="false">IF(L85&gt;$B$6,"",INDEX(Journal!$AD$7:$AD$506,MATCH(L85,Journal!$AI$7:$AI$506,0)))</f>
        <v/>
      </c>
      <c r="Q85" s="34" t="n">
        <f aca="false">IF(L85&gt;$B$6,Q84,Q84+O85)</f>
        <v>20000</v>
      </c>
      <c r="R85" s="34" t="str">
        <f aca="false">IF(L85&gt;$B$6,"",Q85-MAX($Q$5:Q85))</f>
        <v/>
      </c>
    </row>
    <row r="86" customFormat="false" ht="15" hidden="false" customHeight="false" outlineLevel="0" collapsed="false">
      <c r="L86" s="0" t="n">
        <v>81</v>
      </c>
      <c r="M86" s="37" t="str">
        <f aca="false">IF(L86&gt;$B$6,"",INDEX(Journal!$P$7:$P$506,MATCH(L86,Journal!$AI$7:$AI$506,0)))</f>
        <v/>
      </c>
      <c r="N86" s="0" t="str">
        <f aca="false">IF(L86&gt;$B$6,"",INDEX(Journal!$A$7:$A$506,MATCH(L86,Journal!$AI$7:$AI$506,0)))</f>
        <v/>
      </c>
      <c r="O86" s="34" t="str">
        <f aca="false">IF(L86&gt;$B$6,"",INDEX(Journal!$AC$7:$AC$506,MATCH(L86,Journal!$AI$7:$AI$506,0)))</f>
        <v/>
      </c>
      <c r="P86" s="35" t="str">
        <f aca="false">IF(L86&gt;$B$6,"",INDEX(Journal!$AD$7:$AD$506,MATCH(L86,Journal!$AI$7:$AI$506,0)))</f>
        <v/>
      </c>
      <c r="Q86" s="34" t="n">
        <f aca="false">IF(L86&gt;$B$6,Q85,Q85+O86)</f>
        <v>20000</v>
      </c>
      <c r="R86" s="34" t="str">
        <f aca="false">IF(L86&gt;$B$6,"",Q86-MAX($Q$5:Q86))</f>
        <v/>
      </c>
    </row>
    <row r="87" customFormat="false" ht="15" hidden="false" customHeight="false" outlineLevel="0" collapsed="false">
      <c r="L87" s="0" t="n">
        <v>82</v>
      </c>
      <c r="M87" s="37" t="str">
        <f aca="false">IF(L87&gt;$B$6,"",INDEX(Journal!$P$7:$P$506,MATCH(L87,Journal!$AI$7:$AI$506,0)))</f>
        <v/>
      </c>
      <c r="N87" s="0" t="str">
        <f aca="false">IF(L87&gt;$B$6,"",INDEX(Journal!$A$7:$A$506,MATCH(L87,Journal!$AI$7:$AI$506,0)))</f>
        <v/>
      </c>
      <c r="O87" s="34" t="str">
        <f aca="false">IF(L87&gt;$B$6,"",INDEX(Journal!$AC$7:$AC$506,MATCH(L87,Journal!$AI$7:$AI$506,0)))</f>
        <v/>
      </c>
      <c r="P87" s="35" t="str">
        <f aca="false">IF(L87&gt;$B$6,"",INDEX(Journal!$AD$7:$AD$506,MATCH(L87,Journal!$AI$7:$AI$506,0)))</f>
        <v/>
      </c>
      <c r="Q87" s="34" t="n">
        <f aca="false">IF(L87&gt;$B$6,Q86,Q86+O87)</f>
        <v>20000</v>
      </c>
      <c r="R87" s="34" t="str">
        <f aca="false">IF(L87&gt;$B$6,"",Q87-MAX($Q$5:Q87))</f>
        <v/>
      </c>
    </row>
    <row r="88" customFormat="false" ht="15" hidden="false" customHeight="false" outlineLevel="0" collapsed="false">
      <c r="L88" s="0" t="n">
        <v>83</v>
      </c>
      <c r="M88" s="37" t="str">
        <f aca="false">IF(L88&gt;$B$6,"",INDEX(Journal!$P$7:$P$506,MATCH(L88,Journal!$AI$7:$AI$506,0)))</f>
        <v/>
      </c>
      <c r="N88" s="0" t="str">
        <f aca="false">IF(L88&gt;$B$6,"",INDEX(Journal!$A$7:$A$506,MATCH(L88,Journal!$AI$7:$AI$506,0)))</f>
        <v/>
      </c>
      <c r="O88" s="34" t="str">
        <f aca="false">IF(L88&gt;$B$6,"",INDEX(Journal!$AC$7:$AC$506,MATCH(L88,Journal!$AI$7:$AI$506,0)))</f>
        <v/>
      </c>
      <c r="P88" s="35" t="str">
        <f aca="false">IF(L88&gt;$B$6,"",INDEX(Journal!$AD$7:$AD$506,MATCH(L88,Journal!$AI$7:$AI$506,0)))</f>
        <v/>
      </c>
      <c r="Q88" s="34" t="n">
        <f aca="false">IF(L88&gt;$B$6,Q87,Q87+O88)</f>
        <v>20000</v>
      </c>
      <c r="R88" s="34" t="str">
        <f aca="false">IF(L88&gt;$B$6,"",Q88-MAX($Q$5:Q88))</f>
        <v/>
      </c>
    </row>
    <row r="89" customFormat="false" ht="15" hidden="false" customHeight="false" outlineLevel="0" collapsed="false">
      <c r="L89" s="0" t="n">
        <v>84</v>
      </c>
      <c r="M89" s="37" t="str">
        <f aca="false">IF(L89&gt;$B$6,"",INDEX(Journal!$P$7:$P$506,MATCH(L89,Journal!$AI$7:$AI$506,0)))</f>
        <v/>
      </c>
      <c r="N89" s="0" t="str">
        <f aca="false">IF(L89&gt;$B$6,"",INDEX(Journal!$A$7:$A$506,MATCH(L89,Journal!$AI$7:$AI$506,0)))</f>
        <v/>
      </c>
      <c r="O89" s="34" t="str">
        <f aca="false">IF(L89&gt;$B$6,"",INDEX(Journal!$AC$7:$AC$506,MATCH(L89,Journal!$AI$7:$AI$506,0)))</f>
        <v/>
      </c>
      <c r="P89" s="35" t="str">
        <f aca="false">IF(L89&gt;$B$6,"",INDEX(Journal!$AD$7:$AD$506,MATCH(L89,Journal!$AI$7:$AI$506,0)))</f>
        <v/>
      </c>
      <c r="Q89" s="34" t="n">
        <f aca="false">IF(L89&gt;$B$6,Q88,Q88+O89)</f>
        <v>20000</v>
      </c>
      <c r="R89" s="34" t="str">
        <f aca="false">IF(L89&gt;$B$6,"",Q89-MAX($Q$5:Q89))</f>
        <v/>
      </c>
    </row>
    <row r="90" customFormat="false" ht="15" hidden="false" customHeight="false" outlineLevel="0" collapsed="false">
      <c r="L90" s="0" t="n">
        <v>85</v>
      </c>
      <c r="M90" s="37" t="str">
        <f aca="false">IF(L90&gt;$B$6,"",INDEX(Journal!$P$7:$P$506,MATCH(L90,Journal!$AI$7:$AI$506,0)))</f>
        <v/>
      </c>
      <c r="N90" s="0" t="str">
        <f aca="false">IF(L90&gt;$B$6,"",INDEX(Journal!$A$7:$A$506,MATCH(L90,Journal!$AI$7:$AI$506,0)))</f>
        <v/>
      </c>
      <c r="O90" s="34" t="str">
        <f aca="false">IF(L90&gt;$B$6,"",INDEX(Journal!$AC$7:$AC$506,MATCH(L90,Journal!$AI$7:$AI$506,0)))</f>
        <v/>
      </c>
      <c r="P90" s="35" t="str">
        <f aca="false">IF(L90&gt;$B$6,"",INDEX(Journal!$AD$7:$AD$506,MATCH(L90,Journal!$AI$7:$AI$506,0)))</f>
        <v/>
      </c>
      <c r="Q90" s="34" t="n">
        <f aca="false">IF(L90&gt;$B$6,Q89,Q89+O90)</f>
        <v>20000</v>
      </c>
      <c r="R90" s="34" t="str">
        <f aca="false">IF(L90&gt;$B$6,"",Q90-MAX($Q$5:Q90))</f>
        <v/>
      </c>
    </row>
    <row r="91" customFormat="false" ht="15" hidden="false" customHeight="false" outlineLevel="0" collapsed="false">
      <c r="L91" s="0" t="n">
        <v>86</v>
      </c>
      <c r="M91" s="37" t="str">
        <f aca="false">IF(L91&gt;$B$6,"",INDEX(Journal!$P$7:$P$506,MATCH(L91,Journal!$AI$7:$AI$506,0)))</f>
        <v/>
      </c>
      <c r="N91" s="0" t="str">
        <f aca="false">IF(L91&gt;$B$6,"",INDEX(Journal!$A$7:$A$506,MATCH(L91,Journal!$AI$7:$AI$506,0)))</f>
        <v/>
      </c>
      <c r="O91" s="34" t="str">
        <f aca="false">IF(L91&gt;$B$6,"",INDEX(Journal!$AC$7:$AC$506,MATCH(L91,Journal!$AI$7:$AI$506,0)))</f>
        <v/>
      </c>
      <c r="P91" s="35" t="str">
        <f aca="false">IF(L91&gt;$B$6,"",INDEX(Journal!$AD$7:$AD$506,MATCH(L91,Journal!$AI$7:$AI$506,0)))</f>
        <v/>
      </c>
      <c r="Q91" s="34" t="n">
        <f aca="false">IF(L91&gt;$B$6,Q90,Q90+O91)</f>
        <v>20000</v>
      </c>
      <c r="R91" s="34" t="str">
        <f aca="false">IF(L91&gt;$B$6,"",Q91-MAX($Q$5:Q91))</f>
        <v/>
      </c>
    </row>
    <row r="92" customFormat="false" ht="15" hidden="false" customHeight="false" outlineLevel="0" collapsed="false">
      <c r="L92" s="0" t="n">
        <v>87</v>
      </c>
      <c r="M92" s="37" t="str">
        <f aca="false">IF(L92&gt;$B$6,"",INDEX(Journal!$P$7:$P$506,MATCH(L92,Journal!$AI$7:$AI$506,0)))</f>
        <v/>
      </c>
      <c r="N92" s="0" t="str">
        <f aca="false">IF(L92&gt;$B$6,"",INDEX(Journal!$A$7:$A$506,MATCH(L92,Journal!$AI$7:$AI$506,0)))</f>
        <v/>
      </c>
      <c r="O92" s="34" t="str">
        <f aca="false">IF(L92&gt;$B$6,"",INDEX(Journal!$AC$7:$AC$506,MATCH(L92,Journal!$AI$7:$AI$506,0)))</f>
        <v/>
      </c>
      <c r="P92" s="35" t="str">
        <f aca="false">IF(L92&gt;$B$6,"",INDEX(Journal!$AD$7:$AD$506,MATCH(L92,Journal!$AI$7:$AI$506,0)))</f>
        <v/>
      </c>
      <c r="Q92" s="34" t="n">
        <f aca="false">IF(L92&gt;$B$6,Q91,Q91+O92)</f>
        <v>20000</v>
      </c>
      <c r="R92" s="34" t="str">
        <f aca="false">IF(L92&gt;$B$6,"",Q92-MAX($Q$5:Q92))</f>
        <v/>
      </c>
    </row>
    <row r="93" customFormat="false" ht="15" hidden="false" customHeight="false" outlineLevel="0" collapsed="false">
      <c r="L93" s="0" t="n">
        <v>88</v>
      </c>
      <c r="M93" s="37" t="str">
        <f aca="false">IF(L93&gt;$B$6,"",INDEX(Journal!$P$7:$P$506,MATCH(L93,Journal!$AI$7:$AI$506,0)))</f>
        <v/>
      </c>
      <c r="N93" s="0" t="str">
        <f aca="false">IF(L93&gt;$B$6,"",INDEX(Journal!$A$7:$A$506,MATCH(L93,Journal!$AI$7:$AI$506,0)))</f>
        <v/>
      </c>
      <c r="O93" s="34" t="str">
        <f aca="false">IF(L93&gt;$B$6,"",INDEX(Journal!$AC$7:$AC$506,MATCH(L93,Journal!$AI$7:$AI$506,0)))</f>
        <v/>
      </c>
      <c r="P93" s="35" t="str">
        <f aca="false">IF(L93&gt;$B$6,"",INDEX(Journal!$AD$7:$AD$506,MATCH(L93,Journal!$AI$7:$AI$506,0)))</f>
        <v/>
      </c>
      <c r="Q93" s="34" t="n">
        <f aca="false">IF(L93&gt;$B$6,Q92,Q92+O93)</f>
        <v>20000</v>
      </c>
      <c r="R93" s="34" t="str">
        <f aca="false">IF(L93&gt;$B$6,"",Q93-MAX($Q$5:Q93))</f>
        <v/>
      </c>
    </row>
    <row r="94" customFormat="false" ht="15" hidden="false" customHeight="false" outlineLevel="0" collapsed="false">
      <c r="L94" s="0" t="n">
        <v>89</v>
      </c>
      <c r="M94" s="37" t="str">
        <f aca="false">IF(L94&gt;$B$6,"",INDEX(Journal!$P$7:$P$506,MATCH(L94,Journal!$AI$7:$AI$506,0)))</f>
        <v/>
      </c>
      <c r="N94" s="0" t="str">
        <f aca="false">IF(L94&gt;$B$6,"",INDEX(Journal!$A$7:$A$506,MATCH(L94,Journal!$AI$7:$AI$506,0)))</f>
        <v/>
      </c>
      <c r="O94" s="34" t="str">
        <f aca="false">IF(L94&gt;$B$6,"",INDEX(Journal!$AC$7:$AC$506,MATCH(L94,Journal!$AI$7:$AI$506,0)))</f>
        <v/>
      </c>
      <c r="P94" s="35" t="str">
        <f aca="false">IF(L94&gt;$B$6,"",INDEX(Journal!$AD$7:$AD$506,MATCH(L94,Journal!$AI$7:$AI$506,0)))</f>
        <v/>
      </c>
      <c r="Q94" s="34" t="n">
        <f aca="false">IF(L94&gt;$B$6,Q93,Q93+O94)</f>
        <v>20000</v>
      </c>
      <c r="R94" s="34" t="str">
        <f aca="false">IF(L94&gt;$B$6,"",Q94-MAX($Q$5:Q94))</f>
        <v/>
      </c>
    </row>
    <row r="95" customFormat="false" ht="15" hidden="false" customHeight="false" outlineLevel="0" collapsed="false">
      <c r="L95" s="0" t="n">
        <v>90</v>
      </c>
      <c r="M95" s="37" t="str">
        <f aca="false">IF(L95&gt;$B$6,"",INDEX(Journal!$P$7:$P$506,MATCH(L95,Journal!$AI$7:$AI$506,0)))</f>
        <v/>
      </c>
      <c r="N95" s="0" t="str">
        <f aca="false">IF(L95&gt;$B$6,"",INDEX(Journal!$A$7:$A$506,MATCH(L95,Journal!$AI$7:$AI$506,0)))</f>
        <v/>
      </c>
      <c r="O95" s="34" t="str">
        <f aca="false">IF(L95&gt;$B$6,"",INDEX(Journal!$AC$7:$AC$506,MATCH(L95,Journal!$AI$7:$AI$506,0)))</f>
        <v/>
      </c>
      <c r="P95" s="35" t="str">
        <f aca="false">IF(L95&gt;$B$6,"",INDEX(Journal!$AD$7:$AD$506,MATCH(L95,Journal!$AI$7:$AI$506,0)))</f>
        <v/>
      </c>
      <c r="Q95" s="34" t="n">
        <f aca="false">IF(L95&gt;$B$6,Q94,Q94+O95)</f>
        <v>20000</v>
      </c>
      <c r="R95" s="34" t="str">
        <f aca="false">IF(L95&gt;$B$6,"",Q95-MAX($Q$5:Q95))</f>
        <v/>
      </c>
    </row>
    <row r="96" customFormat="false" ht="15" hidden="false" customHeight="false" outlineLevel="0" collapsed="false">
      <c r="L96" s="0" t="n">
        <v>91</v>
      </c>
      <c r="M96" s="37" t="str">
        <f aca="false">IF(L96&gt;$B$6,"",INDEX(Journal!$P$7:$P$506,MATCH(L96,Journal!$AI$7:$AI$506,0)))</f>
        <v/>
      </c>
      <c r="N96" s="0" t="str">
        <f aca="false">IF(L96&gt;$B$6,"",INDEX(Journal!$A$7:$A$506,MATCH(L96,Journal!$AI$7:$AI$506,0)))</f>
        <v/>
      </c>
      <c r="O96" s="34" t="str">
        <f aca="false">IF(L96&gt;$B$6,"",INDEX(Journal!$AC$7:$AC$506,MATCH(L96,Journal!$AI$7:$AI$506,0)))</f>
        <v/>
      </c>
      <c r="P96" s="35" t="str">
        <f aca="false">IF(L96&gt;$B$6,"",INDEX(Journal!$AD$7:$AD$506,MATCH(L96,Journal!$AI$7:$AI$506,0)))</f>
        <v/>
      </c>
      <c r="Q96" s="34" t="n">
        <f aca="false">IF(L96&gt;$B$6,Q95,Q95+O96)</f>
        <v>20000</v>
      </c>
      <c r="R96" s="34" t="str">
        <f aca="false">IF(L96&gt;$B$6,"",Q96-MAX($Q$5:Q96))</f>
        <v/>
      </c>
    </row>
    <row r="97" customFormat="false" ht="15" hidden="false" customHeight="false" outlineLevel="0" collapsed="false">
      <c r="L97" s="0" t="n">
        <v>92</v>
      </c>
      <c r="M97" s="37" t="str">
        <f aca="false">IF(L97&gt;$B$6,"",INDEX(Journal!$P$7:$P$506,MATCH(L97,Journal!$AI$7:$AI$506,0)))</f>
        <v/>
      </c>
      <c r="N97" s="0" t="str">
        <f aca="false">IF(L97&gt;$B$6,"",INDEX(Journal!$A$7:$A$506,MATCH(L97,Journal!$AI$7:$AI$506,0)))</f>
        <v/>
      </c>
      <c r="O97" s="34" t="str">
        <f aca="false">IF(L97&gt;$B$6,"",INDEX(Journal!$AC$7:$AC$506,MATCH(L97,Journal!$AI$7:$AI$506,0)))</f>
        <v/>
      </c>
      <c r="P97" s="35" t="str">
        <f aca="false">IF(L97&gt;$B$6,"",INDEX(Journal!$AD$7:$AD$506,MATCH(L97,Journal!$AI$7:$AI$506,0)))</f>
        <v/>
      </c>
      <c r="Q97" s="34" t="n">
        <f aca="false">IF(L97&gt;$B$6,Q96,Q96+O97)</f>
        <v>20000</v>
      </c>
      <c r="R97" s="34" t="str">
        <f aca="false">IF(L97&gt;$B$6,"",Q97-MAX($Q$5:Q97))</f>
        <v/>
      </c>
    </row>
    <row r="98" customFormat="false" ht="15" hidden="false" customHeight="false" outlineLevel="0" collapsed="false">
      <c r="L98" s="0" t="n">
        <v>93</v>
      </c>
      <c r="M98" s="37" t="str">
        <f aca="false">IF(L98&gt;$B$6,"",INDEX(Journal!$P$7:$P$506,MATCH(L98,Journal!$AI$7:$AI$506,0)))</f>
        <v/>
      </c>
      <c r="N98" s="0" t="str">
        <f aca="false">IF(L98&gt;$B$6,"",INDEX(Journal!$A$7:$A$506,MATCH(L98,Journal!$AI$7:$AI$506,0)))</f>
        <v/>
      </c>
      <c r="O98" s="34" t="str">
        <f aca="false">IF(L98&gt;$B$6,"",INDEX(Journal!$AC$7:$AC$506,MATCH(L98,Journal!$AI$7:$AI$506,0)))</f>
        <v/>
      </c>
      <c r="P98" s="35" t="str">
        <f aca="false">IF(L98&gt;$B$6,"",INDEX(Journal!$AD$7:$AD$506,MATCH(L98,Journal!$AI$7:$AI$506,0)))</f>
        <v/>
      </c>
      <c r="Q98" s="34" t="n">
        <f aca="false">IF(L98&gt;$B$6,Q97,Q97+O98)</f>
        <v>20000</v>
      </c>
      <c r="R98" s="34" t="str">
        <f aca="false">IF(L98&gt;$B$6,"",Q98-MAX($Q$5:Q98))</f>
        <v/>
      </c>
    </row>
    <row r="99" customFormat="false" ht="15" hidden="false" customHeight="false" outlineLevel="0" collapsed="false">
      <c r="L99" s="0" t="n">
        <v>94</v>
      </c>
      <c r="M99" s="37" t="str">
        <f aca="false">IF(L99&gt;$B$6,"",INDEX(Journal!$P$7:$P$506,MATCH(L99,Journal!$AI$7:$AI$506,0)))</f>
        <v/>
      </c>
      <c r="N99" s="0" t="str">
        <f aca="false">IF(L99&gt;$B$6,"",INDEX(Journal!$A$7:$A$506,MATCH(L99,Journal!$AI$7:$AI$506,0)))</f>
        <v/>
      </c>
      <c r="O99" s="34" t="str">
        <f aca="false">IF(L99&gt;$B$6,"",INDEX(Journal!$AC$7:$AC$506,MATCH(L99,Journal!$AI$7:$AI$506,0)))</f>
        <v/>
      </c>
      <c r="P99" s="35" t="str">
        <f aca="false">IF(L99&gt;$B$6,"",INDEX(Journal!$AD$7:$AD$506,MATCH(L99,Journal!$AI$7:$AI$506,0)))</f>
        <v/>
      </c>
      <c r="Q99" s="34" t="n">
        <f aca="false">IF(L99&gt;$B$6,Q98,Q98+O99)</f>
        <v>20000</v>
      </c>
      <c r="R99" s="34" t="str">
        <f aca="false">IF(L99&gt;$B$6,"",Q99-MAX($Q$5:Q99))</f>
        <v/>
      </c>
    </row>
    <row r="100" customFormat="false" ht="15" hidden="false" customHeight="false" outlineLevel="0" collapsed="false">
      <c r="L100" s="0" t="n">
        <v>95</v>
      </c>
      <c r="M100" s="37" t="str">
        <f aca="false">IF(L100&gt;$B$6,"",INDEX(Journal!$P$7:$P$506,MATCH(L100,Journal!$AI$7:$AI$506,0)))</f>
        <v/>
      </c>
      <c r="N100" s="0" t="str">
        <f aca="false">IF(L100&gt;$B$6,"",INDEX(Journal!$A$7:$A$506,MATCH(L100,Journal!$AI$7:$AI$506,0)))</f>
        <v/>
      </c>
      <c r="O100" s="34" t="str">
        <f aca="false">IF(L100&gt;$B$6,"",INDEX(Journal!$AC$7:$AC$506,MATCH(L100,Journal!$AI$7:$AI$506,0)))</f>
        <v/>
      </c>
      <c r="P100" s="35" t="str">
        <f aca="false">IF(L100&gt;$B$6,"",INDEX(Journal!$AD$7:$AD$506,MATCH(L100,Journal!$AI$7:$AI$506,0)))</f>
        <v/>
      </c>
      <c r="Q100" s="34" t="n">
        <f aca="false">IF(L100&gt;$B$6,Q99,Q99+O100)</f>
        <v>20000</v>
      </c>
      <c r="R100" s="34" t="str">
        <f aca="false">IF(L100&gt;$B$6,"",Q100-MAX($Q$5:Q100))</f>
        <v/>
      </c>
    </row>
    <row r="101" customFormat="false" ht="15" hidden="false" customHeight="false" outlineLevel="0" collapsed="false">
      <c r="L101" s="0" t="n">
        <v>96</v>
      </c>
      <c r="M101" s="37" t="str">
        <f aca="false">IF(L101&gt;$B$6,"",INDEX(Journal!$P$7:$P$506,MATCH(L101,Journal!$AI$7:$AI$506,0)))</f>
        <v/>
      </c>
      <c r="N101" s="0" t="str">
        <f aca="false">IF(L101&gt;$B$6,"",INDEX(Journal!$A$7:$A$506,MATCH(L101,Journal!$AI$7:$AI$506,0)))</f>
        <v/>
      </c>
      <c r="O101" s="34" t="str">
        <f aca="false">IF(L101&gt;$B$6,"",INDEX(Journal!$AC$7:$AC$506,MATCH(L101,Journal!$AI$7:$AI$506,0)))</f>
        <v/>
      </c>
      <c r="P101" s="35" t="str">
        <f aca="false">IF(L101&gt;$B$6,"",INDEX(Journal!$AD$7:$AD$506,MATCH(L101,Journal!$AI$7:$AI$506,0)))</f>
        <v/>
      </c>
      <c r="Q101" s="34" t="n">
        <f aca="false">IF(L101&gt;$B$6,Q100,Q100+O101)</f>
        <v>20000</v>
      </c>
      <c r="R101" s="34" t="str">
        <f aca="false">IF(L101&gt;$B$6,"",Q101-MAX($Q$5:Q101))</f>
        <v/>
      </c>
    </row>
    <row r="102" customFormat="false" ht="15" hidden="false" customHeight="false" outlineLevel="0" collapsed="false">
      <c r="L102" s="0" t="n">
        <v>97</v>
      </c>
      <c r="M102" s="37" t="str">
        <f aca="false">IF(L102&gt;$B$6,"",INDEX(Journal!$P$7:$P$506,MATCH(L102,Journal!$AI$7:$AI$506,0)))</f>
        <v/>
      </c>
      <c r="N102" s="0" t="str">
        <f aca="false">IF(L102&gt;$B$6,"",INDEX(Journal!$A$7:$A$506,MATCH(L102,Journal!$AI$7:$AI$506,0)))</f>
        <v/>
      </c>
      <c r="O102" s="34" t="str">
        <f aca="false">IF(L102&gt;$B$6,"",INDEX(Journal!$AC$7:$AC$506,MATCH(L102,Journal!$AI$7:$AI$506,0)))</f>
        <v/>
      </c>
      <c r="P102" s="35" t="str">
        <f aca="false">IF(L102&gt;$B$6,"",INDEX(Journal!$AD$7:$AD$506,MATCH(L102,Journal!$AI$7:$AI$506,0)))</f>
        <v/>
      </c>
      <c r="Q102" s="34" t="n">
        <f aca="false">IF(L102&gt;$B$6,Q101,Q101+O102)</f>
        <v>20000</v>
      </c>
      <c r="R102" s="34" t="str">
        <f aca="false">IF(L102&gt;$B$6,"",Q102-MAX($Q$5:Q102))</f>
        <v/>
      </c>
    </row>
    <row r="103" customFormat="false" ht="15" hidden="false" customHeight="false" outlineLevel="0" collapsed="false">
      <c r="L103" s="0" t="n">
        <v>98</v>
      </c>
      <c r="M103" s="37" t="str">
        <f aca="false">IF(L103&gt;$B$6,"",INDEX(Journal!$P$7:$P$506,MATCH(L103,Journal!$AI$7:$AI$506,0)))</f>
        <v/>
      </c>
      <c r="N103" s="0" t="str">
        <f aca="false">IF(L103&gt;$B$6,"",INDEX(Journal!$A$7:$A$506,MATCH(L103,Journal!$AI$7:$AI$506,0)))</f>
        <v/>
      </c>
      <c r="O103" s="34" t="str">
        <f aca="false">IF(L103&gt;$B$6,"",INDEX(Journal!$AC$7:$AC$506,MATCH(L103,Journal!$AI$7:$AI$506,0)))</f>
        <v/>
      </c>
      <c r="P103" s="35" t="str">
        <f aca="false">IF(L103&gt;$B$6,"",INDEX(Journal!$AD$7:$AD$506,MATCH(L103,Journal!$AI$7:$AI$506,0)))</f>
        <v/>
      </c>
      <c r="Q103" s="34" t="n">
        <f aca="false">IF(L103&gt;$B$6,Q102,Q102+O103)</f>
        <v>20000</v>
      </c>
      <c r="R103" s="34" t="str">
        <f aca="false">IF(L103&gt;$B$6,"",Q103-MAX($Q$5:Q103))</f>
        <v/>
      </c>
    </row>
    <row r="104" customFormat="false" ht="15" hidden="false" customHeight="false" outlineLevel="0" collapsed="false">
      <c r="L104" s="0" t="n">
        <v>99</v>
      </c>
      <c r="M104" s="37" t="str">
        <f aca="false">IF(L104&gt;$B$6,"",INDEX(Journal!$P$7:$P$506,MATCH(L104,Journal!$AI$7:$AI$506,0)))</f>
        <v/>
      </c>
      <c r="N104" s="0" t="str">
        <f aca="false">IF(L104&gt;$B$6,"",INDEX(Journal!$A$7:$A$506,MATCH(L104,Journal!$AI$7:$AI$506,0)))</f>
        <v/>
      </c>
      <c r="O104" s="34" t="str">
        <f aca="false">IF(L104&gt;$B$6,"",INDEX(Journal!$AC$7:$AC$506,MATCH(L104,Journal!$AI$7:$AI$506,0)))</f>
        <v/>
      </c>
      <c r="P104" s="35" t="str">
        <f aca="false">IF(L104&gt;$B$6,"",INDEX(Journal!$AD$7:$AD$506,MATCH(L104,Journal!$AI$7:$AI$506,0)))</f>
        <v/>
      </c>
      <c r="Q104" s="34" t="n">
        <f aca="false">IF(L104&gt;$B$6,Q103,Q103+O104)</f>
        <v>20000</v>
      </c>
      <c r="R104" s="34" t="str">
        <f aca="false">IF(L104&gt;$B$6,"",Q104-MAX($Q$5:Q104))</f>
        <v/>
      </c>
    </row>
    <row r="105" customFormat="false" ht="15" hidden="false" customHeight="false" outlineLevel="0" collapsed="false">
      <c r="L105" s="0" t="n">
        <v>100</v>
      </c>
      <c r="M105" s="37" t="str">
        <f aca="false">IF(L105&gt;$B$6,"",INDEX(Journal!$P$7:$P$506,MATCH(L105,Journal!$AI$7:$AI$506,0)))</f>
        <v/>
      </c>
      <c r="N105" s="0" t="str">
        <f aca="false">IF(L105&gt;$B$6,"",INDEX(Journal!$A$7:$A$506,MATCH(L105,Journal!$AI$7:$AI$506,0)))</f>
        <v/>
      </c>
      <c r="O105" s="34" t="str">
        <f aca="false">IF(L105&gt;$B$6,"",INDEX(Journal!$AC$7:$AC$506,MATCH(L105,Journal!$AI$7:$AI$506,0)))</f>
        <v/>
      </c>
      <c r="P105" s="35" t="str">
        <f aca="false">IF(L105&gt;$B$6,"",INDEX(Journal!$AD$7:$AD$506,MATCH(L105,Journal!$AI$7:$AI$506,0)))</f>
        <v/>
      </c>
      <c r="Q105" s="34" t="n">
        <f aca="false">IF(L105&gt;$B$6,Q104,Q104+O105)</f>
        <v>20000</v>
      </c>
      <c r="R105" s="34" t="str">
        <f aca="false">IF(L105&gt;$B$6,"",Q105-MAX($Q$5:Q105))</f>
        <v/>
      </c>
    </row>
    <row r="106" customFormat="false" ht="15" hidden="false" customHeight="false" outlineLevel="0" collapsed="false">
      <c r="L106" s="0" t="n">
        <v>101</v>
      </c>
      <c r="M106" s="37" t="str">
        <f aca="false">IF(L106&gt;$B$6,"",INDEX(Journal!$P$7:$P$506,MATCH(L106,Journal!$AI$7:$AI$506,0)))</f>
        <v/>
      </c>
      <c r="N106" s="0" t="str">
        <f aca="false">IF(L106&gt;$B$6,"",INDEX(Journal!$A$7:$A$506,MATCH(L106,Journal!$AI$7:$AI$506,0)))</f>
        <v/>
      </c>
      <c r="O106" s="34" t="str">
        <f aca="false">IF(L106&gt;$B$6,"",INDEX(Journal!$AC$7:$AC$506,MATCH(L106,Journal!$AI$7:$AI$506,0)))</f>
        <v/>
      </c>
      <c r="P106" s="35" t="str">
        <f aca="false">IF(L106&gt;$B$6,"",INDEX(Journal!$AD$7:$AD$506,MATCH(L106,Journal!$AI$7:$AI$506,0)))</f>
        <v/>
      </c>
      <c r="Q106" s="34" t="n">
        <f aca="false">IF(L106&gt;$B$6,Q105,Q105+O106)</f>
        <v>20000</v>
      </c>
      <c r="R106" s="34" t="str">
        <f aca="false">IF(L106&gt;$B$6,"",Q106-MAX($Q$5:Q106))</f>
        <v/>
      </c>
    </row>
    <row r="107" customFormat="false" ht="15" hidden="false" customHeight="false" outlineLevel="0" collapsed="false">
      <c r="L107" s="0" t="n">
        <v>102</v>
      </c>
      <c r="M107" s="37" t="str">
        <f aca="false">IF(L107&gt;$B$6,"",INDEX(Journal!$P$7:$P$506,MATCH(L107,Journal!$AI$7:$AI$506,0)))</f>
        <v/>
      </c>
      <c r="N107" s="0" t="str">
        <f aca="false">IF(L107&gt;$B$6,"",INDEX(Journal!$A$7:$A$506,MATCH(L107,Journal!$AI$7:$AI$506,0)))</f>
        <v/>
      </c>
      <c r="O107" s="34" t="str">
        <f aca="false">IF(L107&gt;$B$6,"",INDEX(Journal!$AC$7:$AC$506,MATCH(L107,Journal!$AI$7:$AI$506,0)))</f>
        <v/>
      </c>
      <c r="P107" s="35" t="str">
        <f aca="false">IF(L107&gt;$B$6,"",INDEX(Journal!$AD$7:$AD$506,MATCH(L107,Journal!$AI$7:$AI$506,0)))</f>
        <v/>
      </c>
      <c r="Q107" s="34" t="n">
        <f aca="false">IF(L107&gt;$B$6,Q106,Q106+O107)</f>
        <v>20000</v>
      </c>
      <c r="R107" s="34" t="str">
        <f aca="false">IF(L107&gt;$B$6,"",Q107-MAX($Q$5:Q107))</f>
        <v/>
      </c>
    </row>
    <row r="108" customFormat="false" ht="15" hidden="false" customHeight="false" outlineLevel="0" collapsed="false">
      <c r="L108" s="0" t="n">
        <v>103</v>
      </c>
      <c r="M108" s="37" t="str">
        <f aca="false">IF(L108&gt;$B$6,"",INDEX(Journal!$P$7:$P$506,MATCH(L108,Journal!$AI$7:$AI$506,0)))</f>
        <v/>
      </c>
      <c r="N108" s="0" t="str">
        <f aca="false">IF(L108&gt;$B$6,"",INDEX(Journal!$A$7:$A$506,MATCH(L108,Journal!$AI$7:$AI$506,0)))</f>
        <v/>
      </c>
      <c r="O108" s="34" t="str">
        <f aca="false">IF(L108&gt;$B$6,"",INDEX(Journal!$AC$7:$AC$506,MATCH(L108,Journal!$AI$7:$AI$506,0)))</f>
        <v/>
      </c>
      <c r="P108" s="35" t="str">
        <f aca="false">IF(L108&gt;$B$6,"",INDEX(Journal!$AD$7:$AD$506,MATCH(L108,Journal!$AI$7:$AI$506,0)))</f>
        <v/>
      </c>
      <c r="Q108" s="34" t="n">
        <f aca="false">IF(L108&gt;$B$6,Q107,Q107+O108)</f>
        <v>20000</v>
      </c>
      <c r="R108" s="34" t="str">
        <f aca="false">IF(L108&gt;$B$6,"",Q108-MAX($Q$5:Q108))</f>
        <v/>
      </c>
    </row>
    <row r="109" customFormat="false" ht="15" hidden="false" customHeight="false" outlineLevel="0" collapsed="false">
      <c r="L109" s="0" t="n">
        <v>104</v>
      </c>
      <c r="M109" s="37" t="str">
        <f aca="false">IF(L109&gt;$B$6,"",INDEX(Journal!$P$7:$P$506,MATCH(L109,Journal!$AI$7:$AI$506,0)))</f>
        <v/>
      </c>
      <c r="N109" s="0" t="str">
        <f aca="false">IF(L109&gt;$B$6,"",INDEX(Journal!$A$7:$A$506,MATCH(L109,Journal!$AI$7:$AI$506,0)))</f>
        <v/>
      </c>
      <c r="O109" s="34" t="str">
        <f aca="false">IF(L109&gt;$B$6,"",INDEX(Journal!$AC$7:$AC$506,MATCH(L109,Journal!$AI$7:$AI$506,0)))</f>
        <v/>
      </c>
      <c r="P109" s="35" t="str">
        <f aca="false">IF(L109&gt;$B$6,"",INDEX(Journal!$AD$7:$AD$506,MATCH(L109,Journal!$AI$7:$AI$506,0)))</f>
        <v/>
      </c>
      <c r="Q109" s="34" t="n">
        <f aca="false">IF(L109&gt;$B$6,Q108,Q108+O109)</f>
        <v>20000</v>
      </c>
      <c r="R109" s="34" t="str">
        <f aca="false">IF(L109&gt;$B$6,"",Q109-MAX($Q$5:Q109))</f>
        <v/>
      </c>
    </row>
    <row r="110" customFormat="false" ht="15" hidden="false" customHeight="false" outlineLevel="0" collapsed="false">
      <c r="L110" s="0" t="n">
        <v>105</v>
      </c>
      <c r="M110" s="37" t="str">
        <f aca="false">IF(L110&gt;$B$6,"",INDEX(Journal!$P$7:$P$506,MATCH(L110,Journal!$AI$7:$AI$506,0)))</f>
        <v/>
      </c>
      <c r="N110" s="0" t="str">
        <f aca="false">IF(L110&gt;$B$6,"",INDEX(Journal!$A$7:$A$506,MATCH(L110,Journal!$AI$7:$AI$506,0)))</f>
        <v/>
      </c>
      <c r="O110" s="34" t="str">
        <f aca="false">IF(L110&gt;$B$6,"",INDEX(Journal!$AC$7:$AC$506,MATCH(L110,Journal!$AI$7:$AI$506,0)))</f>
        <v/>
      </c>
      <c r="P110" s="35" t="str">
        <f aca="false">IF(L110&gt;$B$6,"",INDEX(Journal!$AD$7:$AD$506,MATCH(L110,Journal!$AI$7:$AI$506,0)))</f>
        <v/>
      </c>
      <c r="Q110" s="34" t="n">
        <f aca="false">IF(L110&gt;$B$6,Q109,Q109+O110)</f>
        <v>20000</v>
      </c>
      <c r="R110" s="34" t="str">
        <f aca="false">IF(L110&gt;$B$6,"",Q110-MAX($Q$5:Q110))</f>
        <v/>
      </c>
    </row>
    <row r="111" customFormat="false" ht="15" hidden="false" customHeight="false" outlineLevel="0" collapsed="false">
      <c r="L111" s="0" t="n">
        <v>106</v>
      </c>
      <c r="M111" s="37" t="str">
        <f aca="false">IF(L111&gt;$B$6,"",INDEX(Journal!$P$7:$P$506,MATCH(L111,Journal!$AI$7:$AI$506,0)))</f>
        <v/>
      </c>
      <c r="N111" s="0" t="str">
        <f aca="false">IF(L111&gt;$B$6,"",INDEX(Journal!$A$7:$A$506,MATCH(L111,Journal!$AI$7:$AI$506,0)))</f>
        <v/>
      </c>
      <c r="O111" s="34" t="str">
        <f aca="false">IF(L111&gt;$B$6,"",INDEX(Journal!$AC$7:$AC$506,MATCH(L111,Journal!$AI$7:$AI$506,0)))</f>
        <v/>
      </c>
      <c r="P111" s="35" t="str">
        <f aca="false">IF(L111&gt;$B$6,"",INDEX(Journal!$AD$7:$AD$506,MATCH(L111,Journal!$AI$7:$AI$506,0)))</f>
        <v/>
      </c>
      <c r="Q111" s="34" t="n">
        <f aca="false">IF(L111&gt;$B$6,Q110,Q110+O111)</f>
        <v>20000</v>
      </c>
      <c r="R111" s="34" t="str">
        <f aca="false">IF(L111&gt;$B$6,"",Q111-MAX($Q$5:Q111))</f>
        <v/>
      </c>
    </row>
    <row r="112" customFormat="false" ht="15" hidden="false" customHeight="false" outlineLevel="0" collapsed="false">
      <c r="L112" s="0" t="n">
        <v>107</v>
      </c>
      <c r="M112" s="37" t="str">
        <f aca="false">IF(L112&gt;$B$6,"",INDEX(Journal!$P$7:$P$506,MATCH(L112,Journal!$AI$7:$AI$506,0)))</f>
        <v/>
      </c>
      <c r="N112" s="0" t="str">
        <f aca="false">IF(L112&gt;$B$6,"",INDEX(Journal!$A$7:$A$506,MATCH(L112,Journal!$AI$7:$AI$506,0)))</f>
        <v/>
      </c>
      <c r="O112" s="34" t="str">
        <f aca="false">IF(L112&gt;$B$6,"",INDEX(Journal!$AC$7:$AC$506,MATCH(L112,Journal!$AI$7:$AI$506,0)))</f>
        <v/>
      </c>
      <c r="P112" s="35" t="str">
        <f aca="false">IF(L112&gt;$B$6,"",INDEX(Journal!$AD$7:$AD$506,MATCH(L112,Journal!$AI$7:$AI$506,0)))</f>
        <v/>
      </c>
      <c r="Q112" s="34" t="n">
        <f aca="false">IF(L112&gt;$B$6,Q111,Q111+O112)</f>
        <v>20000</v>
      </c>
      <c r="R112" s="34" t="str">
        <f aca="false">IF(L112&gt;$B$6,"",Q112-MAX($Q$5:Q112))</f>
        <v/>
      </c>
    </row>
    <row r="113" customFormat="false" ht="15" hidden="false" customHeight="false" outlineLevel="0" collapsed="false">
      <c r="L113" s="0" t="n">
        <v>108</v>
      </c>
      <c r="M113" s="37" t="str">
        <f aca="false">IF(L113&gt;$B$6,"",INDEX(Journal!$P$7:$P$506,MATCH(L113,Journal!$AI$7:$AI$506,0)))</f>
        <v/>
      </c>
      <c r="N113" s="0" t="str">
        <f aca="false">IF(L113&gt;$B$6,"",INDEX(Journal!$A$7:$A$506,MATCH(L113,Journal!$AI$7:$AI$506,0)))</f>
        <v/>
      </c>
      <c r="O113" s="34" t="str">
        <f aca="false">IF(L113&gt;$B$6,"",INDEX(Journal!$AC$7:$AC$506,MATCH(L113,Journal!$AI$7:$AI$506,0)))</f>
        <v/>
      </c>
      <c r="P113" s="35" t="str">
        <f aca="false">IF(L113&gt;$B$6,"",INDEX(Journal!$AD$7:$AD$506,MATCH(L113,Journal!$AI$7:$AI$506,0)))</f>
        <v/>
      </c>
      <c r="Q113" s="34" t="n">
        <f aca="false">IF(L113&gt;$B$6,Q112,Q112+O113)</f>
        <v>20000</v>
      </c>
      <c r="R113" s="34" t="str">
        <f aca="false">IF(L113&gt;$B$6,"",Q113-MAX($Q$5:Q113))</f>
        <v/>
      </c>
    </row>
    <row r="114" customFormat="false" ht="15" hidden="false" customHeight="false" outlineLevel="0" collapsed="false">
      <c r="L114" s="0" t="n">
        <v>109</v>
      </c>
      <c r="M114" s="37" t="str">
        <f aca="false">IF(L114&gt;$B$6,"",INDEX(Journal!$P$7:$P$506,MATCH(L114,Journal!$AI$7:$AI$506,0)))</f>
        <v/>
      </c>
      <c r="N114" s="0" t="str">
        <f aca="false">IF(L114&gt;$B$6,"",INDEX(Journal!$A$7:$A$506,MATCH(L114,Journal!$AI$7:$AI$506,0)))</f>
        <v/>
      </c>
      <c r="O114" s="34" t="str">
        <f aca="false">IF(L114&gt;$B$6,"",INDEX(Journal!$AC$7:$AC$506,MATCH(L114,Journal!$AI$7:$AI$506,0)))</f>
        <v/>
      </c>
      <c r="P114" s="35" t="str">
        <f aca="false">IF(L114&gt;$B$6,"",INDEX(Journal!$AD$7:$AD$506,MATCH(L114,Journal!$AI$7:$AI$506,0)))</f>
        <v/>
      </c>
      <c r="Q114" s="34" t="n">
        <f aca="false">IF(L114&gt;$B$6,Q113,Q113+O114)</f>
        <v>20000</v>
      </c>
      <c r="R114" s="34" t="str">
        <f aca="false">IF(L114&gt;$B$6,"",Q114-MAX($Q$5:Q114))</f>
        <v/>
      </c>
    </row>
    <row r="115" customFormat="false" ht="15" hidden="false" customHeight="false" outlineLevel="0" collapsed="false">
      <c r="L115" s="0" t="n">
        <v>110</v>
      </c>
      <c r="M115" s="37" t="str">
        <f aca="false">IF(L115&gt;$B$6,"",INDEX(Journal!$P$7:$P$506,MATCH(L115,Journal!$AI$7:$AI$506,0)))</f>
        <v/>
      </c>
      <c r="N115" s="0" t="str">
        <f aca="false">IF(L115&gt;$B$6,"",INDEX(Journal!$A$7:$A$506,MATCH(L115,Journal!$AI$7:$AI$506,0)))</f>
        <v/>
      </c>
      <c r="O115" s="34" t="str">
        <f aca="false">IF(L115&gt;$B$6,"",INDEX(Journal!$AC$7:$AC$506,MATCH(L115,Journal!$AI$7:$AI$506,0)))</f>
        <v/>
      </c>
      <c r="P115" s="35" t="str">
        <f aca="false">IF(L115&gt;$B$6,"",INDEX(Journal!$AD$7:$AD$506,MATCH(L115,Journal!$AI$7:$AI$506,0)))</f>
        <v/>
      </c>
      <c r="Q115" s="34" t="n">
        <f aca="false">IF(L115&gt;$B$6,Q114,Q114+O115)</f>
        <v>20000</v>
      </c>
      <c r="R115" s="34" t="str">
        <f aca="false">IF(L115&gt;$B$6,"",Q115-MAX($Q$5:Q115))</f>
        <v/>
      </c>
    </row>
    <row r="116" customFormat="false" ht="15" hidden="false" customHeight="false" outlineLevel="0" collapsed="false">
      <c r="L116" s="0" t="n">
        <v>111</v>
      </c>
      <c r="M116" s="37" t="str">
        <f aca="false">IF(L116&gt;$B$6,"",INDEX(Journal!$P$7:$P$506,MATCH(L116,Journal!$AI$7:$AI$506,0)))</f>
        <v/>
      </c>
      <c r="N116" s="0" t="str">
        <f aca="false">IF(L116&gt;$B$6,"",INDEX(Journal!$A$7:$A$506,MATCH(L116,Journal!$AI$7:$AI$506,0)))</f>
        <v/>
      </c>
      <c r="O116" s="34" t="str">
        <f aca="false">IF(L116&gt;$B$6,"",INDEX(Journal!$AC$7:$AC$506,MATCH(L116,Journal!$AI$7:$AI$506,0)))</f>
        <v/>
      </c>
      <c r="P116" s="35" t="str">
        <f aca="false">IF(L116&gt;$B$6,"",INDEX(Journal!$AD$7:$AD$506,MATCH(L116,Journal!$AI$7:$AI$506,0)))</f>
        <v/>
      </c>
      <c r="Q116" s="34" t="n">
        <f aca="false">IF(L116&gt;$B$6,Q115,Q115+O116)</f>
        <v>20000</v>
      </c>
      <c r="R116" s="34" t="str">
        <f aca="false">IF(L116&gt;$B$6,"",Q116-MAX($Q$5:Q116))</f>
        <v/>
      </c>
    </row>
    <row r="117" customFormat="false" ht="15" hidden="false" customHeight="false" outlineLevel="0" collapsed="false">
      <c r="L117" s="0" t="n">
        <v>112</v>
      </c>
      <c r="M117" s="37" t="str">
        <f aca="false">IF(L117&gt;$B$6,"",INDEX(Journal!$P$7:$P$506,MATCH(L117,Journal!$AI$7:$AI$506,0)))</f>
        <v/>
      </c>
      <c r="N117" s="0" t="str">
        <f aca="false">IF(L117&gt;$B$6,"",INDEX(Journal!$A$7:$A$506,MATCH(L117,Journal!$AI$7:$AI$506,0)))</f>
        <v/>
      </c>
      <c r="O117" s="34" t="str">
        <f aca="false">IF(L117&gt;$B$6,"",INDEX(Journal!$AC$7:$AC$506,MATCH(L117,Journal!$AI$7:$AI$506,0)))</f>
        <v/>
      </c>
      <c r="P117" s="35" t="str">
        <f aca="false">IF(L117&gt;$B$6,"",INDEX(Journal!$AD$7:$AD$506,MATCH(L117,Journal!$AI$7:$AI$506,0)))</f>
        <v/>
      </c>
      <c r="Q117" s="34" t="n">
        <f aca="false">IF(L117&gt;$B$6,Q116,Q116+O117)</f>
        <v>20000</v>
      </c>
      <c r="R117" s="34" t="str">
        <f aca="false">IF(L117&gt;$B$6,"",Q117-MAX($Q$5:Q117))</f>
        <v/>
      </c>
    </row>
    <row r="118" customFormat="false" ht="15" hidden="false" customHeight="false" outlineLevel="0" collapsed="false">
      <c r="L118" s="0" t="n">
        <v>113</v>
      </c>
      <c r="M118" s="37" t="str">
        <f aca="false">IF(L118&gt;$B$6,"",INDEX(Journal!$P$7:$P$506,MATCH(L118,Journal!$AI$7:$AI$506,0)))</f>
        <v/>
      </c>
      <c r="N118" s="0" t="str">
        <f aca="false">IF(L118&gt;$B$6,"",INDEX(Journal!$A$7:$A$506,MATCH(L118,Journal!$AI$7:$AI$506,0)))</f>
        <v/>
      </c>
      <c r="O118" s="34" t="str">
        <f aca="false">IF(L118&gt;$B$6,"",INDEX(Journal!$AC$7:$AC$506,MATCH(L118,Journal!$AI$7:$AI$506,0)))</f>
        <v/>
      </c>
      <c r="P118" s="35" t="str">
        <f aca="false">IF(L118&gt;$B$6,"",INDEX(Journal!$AD$7:$AD$506,MATCH(L118,Journal!$AI$7:$AI$506,0)))</f>
        <v/>
      </c>
      <c r="Q118" s="34" t="n">
        <f aca="false">IF(L118&gt;$B$6,Q117,Q117+O118)</f>
        <v>20000</v>
      </c>
      <c r="R118" s="34" t="str">
        <f aca="false">IF(L118&gt;$B$6,"",Q118-MAX($Q$5:Q118))</f>
        <v/>
      </c>
    </row>
    <row r="119" customFormat="false" ht="15" hidden="false" customHeight="false" outlineLevel="0" collapsed="false">
      <c r="L119" s="0" t="n">
        <v>114</v>
      </c>
      <c r="M119" s="37" t="str">
        <f aca="false">IF(L119&gt;$B$6,"",INDEX(Journal!$P$7:$P$506,MATCH(L119,Journal!$AI$7:$AI$506,0)))</f>
        <v/>
      </c>
      <c r="N119" s="0" t="str">
        <f aca="false">IF(L119&gt;$B$6,"",INDEX(Journal!$A$7:$A$506,MATCH(L119,Journal!$AI$7:$AI$506,0)))</f>
        <v/>
      </c>
      <c r="O119" s="34" t="str">
        <f aca="false">IF(L119&gt;$B$6,"",INDEX(Journal!$AC$7:$AC$506,MATCH(L119,Journal!$AI$7:$AI$506,0)))</f>
        <v/>
      </c>
      <c r="P119" s="35" t="str">
        <f aca="false">IF(L119&gt;$B$6,"",INDEX(Journal!$AD$7:$AD$506,MATCH(L119,Journal!$AI$7:$AI$506,0)))</f>
        <v/>
      </c>
      <c r="Q119" s="34" t="n">
        <f aca="false">IF(L119&gt;$B$6,Q118,Q118+O119)</f>
        <v>20000</v>
      </c>
      <c r="R119" s="34" t="str">
        <f aca="false">IF(L119&gt;$B$6,"",Q119-MAX($Q$5:Q119))</f>
        <v/>
      </c>
    </row>
    <row r="120" customFormat="false" ht="15" hidden="false" customHeight="false" outlineLevel="0" collapsed="false">
      <c r="L120" s="0" t="n">
        <v>115</v>
      </c>
      <c r="M120" s="37" t="str">
        <f aca="false">IF(L120&gt;$B$6,"",INDEX(Journal!$P$7:$P$506,MATCH(L120,Journal!$AI$7:$AI$506,0)))</f>
        <v/>
      </c>
      <c r="N120" s="0" t="str">
        <f aca="false">IF(L120&gt;$B$6,"",INDEX(Journal!$A$7:$A$506,MATCH(L120,Journal!$AI$7:$AI$506,0)))</f>
        <v/>
      </c>
      <c r="O120" s="34" t="str">
        <f aca="false">IF(L120&gt;$B$6,"",INDEX(Journal!$AC$7:$AC$506,MATCH(L120,Journal!$AI$7:$AI$506,0)))</f>
        <v/>
      </c>
      <c r="P120" s="35" t="str">
        <f aca="false">IF(L120&gt;$B$6,"",INDEX(Journal!$AD$7:$AD$506,MATCH(L120,Journal!$AI$7:$AI$506,0)))</f>
        <v/>
      </c>
      <c r="Q120" s="34" t="n">
        <f aca="false">IF(L120&gt;$B$6,Q119,Q119+O120)</f>
        <v>20000</v>
      </c>
      <c r="R120" s="34" t="str">
        <f aca="false">IF(L120&gt;$B$6,"",Q120-MAX($Q$5:Q120))</f>
        <v/>
      </c>
    </row>
    <row r="121" customFormat="false" ht="15" hidden="false" customHeight="false" outlineLevel="0" collapsed="false">
      <c r="L121" s="0" t="n">
        <v>116</v>
      </c>
      <c r="M121" s="37" t="str">
        <f aca="false">IF(L121&gt;$B$6,"",INDEX(Journal!$P$7:$P$506,MATCH(L121,Journal!$AI$7:$AI$506,0)))</f>
        <v/>
      </c>
      <c r="N121" s="0" t="str">
        <f aca="false">IF(L121&gt;$B$6,"",INDEX(Journal!$A$7:$A$506,MATCH(L121,Journal!$AI$7:$AI$506,0)))</f>
        <v/>
      </c>
      <c r="O121" s="34" t="str">
        <f aca="false">IF(L121&gt;$B$6,"",INDEX(Journal!$AC$7:$AC$506,MATCH(L121,Journal!$AI$7:$AI$506,0)))</f>
        <v/>
      </c>
      <c r="P121" s="35" t="str">
        <f aca="false">IF(L121&gt;$B$6,"",INDEX(Journal!$AD$7:$AD$506,MATCH(L121,Journal!$AI$7:$AI$506,0)))</f>
        <v/>
      </c>
      <c r="Q121" s="34" t="n">
        <f aca="false">IF(L121&gt;$B$6,Q120,Q120+O121)</f>
        <v>20000</v>
      </c>
      <c r="R121" s="34" t="str">
        <f aca="false">IF(L121&gt;$B$6,"",Q121-MAX($Q$5:Q121))</f>
        <v/>
      </c>
    </row>
    <row r="122" customFormat="false" ht="15" hidden="false" customHeight="false" outlineLevel="0" collapsed="false">
      <c r="L122" s="0" t="n">
        <v>117</v>
      </c>
      <c r="M122" s="37" t="str">
        <f aca="false">IF(L122&gt;$B$6,"",INDEX(Journal!$P$7:$P$506,MATCH(L122,Journal!$AI$7:$AI$506,0)))</f>
        <v/>
      </c>
      <c r="N122" s="0" t="str">
        <f aca="false">IF(L122&gt;$B$6,"",INDEX(Journal!$A$7:$A$506,MATCH(L122,Journal!$AI$7:$AI$506,0)))</f>
        <v/>
      </c>
      <c r="O122" s="34" t="str">
        <f aca="false">IF(L122&gt;$B$6,"",INDEX(Journal!$AC$7:$AC$506,MATCH(L122,Journal!$AI$7:$AI$506,0)))</f>
        <v/>
      </c>
      <c r="P122" s="35" t="str">
        <f aca="false">IF(L122&gt;$B$6,"",INDEX(Journal!$AD$7:$AD$506,MATCH(L122,Journal!$AI$7:$AI$506,0)))</f>
        <v/>
      </c>
      <c r="Q122" s="34" t="n">
        <f aca="false">IF(L122&gt;$B$6,Q121,Q121+O122)</f>
        <v>20000</v>
      </c>
      <c r="R122" s="34" t="str">
        <f aca="false">IF(L122&gt;$B$6,"",Q122-MAX($Q$5:Q122))</f>
        <v/>
      </c>
    </row>
    <row r="123" customFormat="false" ht="15" hidden="false" customHeight="false" outlineLevel="0" collapsed="false">
      <c r="L123" s="0" t="n">
        <v>118</v>
      </c>
      <c r="M123" s="37" t="str">
        <f aca="false">IF(L123&gt;$B$6,"",INDEX(Journal!$P$7:$P$506,MATCH(L123,Journal!$AI$7:$AI$506,0)))</f>
        <v/>
      </c>
      <c r="N123" s="0" t="str">
        <f aca="false">IF(L123&gt;$B$6,"",INDEX(Journal!$A$7:$A$506,MATCH(L123,Journal!$AI$7:$AI$506,0)))</f>
        <v/>
      </c>
      <c r="O123" s="34" t="str">
        <f aca="false">IF(L123&gt;$B$6,"",INDEX(Journal!$AC$7:$AC$506,MATCH(L123,Journal!$AI$7:$AI$506,0)))</f>
        <v/>
      </c>
      <c r="P123" s="35" t="str">
        <f aca="false">IF(L123&gt;$B$6,"",INDEX(Journal!$AD$7:$AD$506,MATCH(L123,Journal!$AI$7:$AI$506,0)))</f>
        <v/>
      </c>
      <c r="Q123" s="34" t="n">
        <f aca="false">IF(L123&gt;$B$6,Q122,Q122+O123)</f>
        <v>20000</v>
      </c>
      <c r="R123" s="34" t="str">
        <f aca="false">IF(L123&gt;$B$6,"",Q123-MAX($Q$5:Q123))</f>
        <v/>
      </c>
    </row>
    <row r="124" customFormat="false" ht="15" hidden="false" customHeight="false" outlineLevel="0" collapsed="false">
      <c r="L124" s="0" t="n">
        <v>119</v>
      </c>
      <c r="M124" s="37" t="str">
        <f aca="false">IF(L124&gt;$B$6,"",INDEX(Journal!$P$7:$P$506,MATCH(L124,Journal!$AI$7:$AI$506,0)))</f>
        <v/>
      </c>
      <c r="N124" s="0" t="str">
        <f aca="false">IF(L124&gt;$B$6,"",INDEX(Journal!$A$7:$A$506,MATCH(L124,Journal!$AI$7:$AI$506,0)))</f>
        <v/>
      </c>
      <c r="O124" s="34" t="str">
        <f aca="false">IF(L124&gt;$B$6,"",INDEX(Journal!$AC$7:$AC$506,MATCH(L124,Journal!$AI$7:$AI$506,0)))</f>
        <v/>
      </c>
      <c r="P124" s="35" t="str">
        <f aca="false">IF(L124&gt;$B$6,"",INDEX(Journal!$AD$7:$AD$506,MATCH(L124,Journal!$AI$7:$AI$506,0)))</f>
        <v/>
      </c>
      <c r="Q124" s="34" t="n">
        <f aca="false">IF(L124&gt;$B$6,Q123,Q123+O124)</f>
        <v>20000</v>
      </c>
      <c r="R124" s="34" t="str">
        <f aca="false">IF(L124&gt;$B$6,"",Q124-MAX($Q$5:Q124))</f>
        <v/>
      </c>
    </row>
    <row r="125" customFormat="false" ht="15" hidden="false" customHeight="false" outlineLevel="0" collapsed="false">
      <c r="L125" s="0" t="n">
        <v>120</v>
      </c>
      <c r="M125" s="37" t="str">
        <f aca="false">IF(L125&gt;$B$6,"",INDEX(Journal!$P$7:$P$506,MATCH(L125,Journal!$AI$7:$AI$506,0)))</f>
        <v/>
      </c>
      <c r="N125" s="0" t="str">
        <f aca="false">IF(L125&gt;$B$6,"",INDEX(Journal!$A$7:$A$506,MATCH(L125,Journal!$AI$7:$AI$506,0)))</f>
        <v/>
      </c>
      <c r="O125" s="34" t="str">
        <f aca="false">IF(L125&gt;$B$6,"",INDEX(Journal!$AC$7:$AC$506,MATCH(L125,Journal!$AI$7:$AI$506,0)))</f>
        <v/>
      </c>
      <c r="P125" s="35" t="str">
        <f aca="false">IF(L125&gt;$B$6,"",INDEX(Journal!$AD$7:$AD$506,MATCH(L125,Journal!$AI$7:$AI$506,0)))</f>
        <v/>
      </c>
      <c r="Q125" s="34" t="n">
        <f aca="false">IF(L125&gt;$B$6,Q124,Q124+O125)</f>
        <v>20000</v>
      </c>
      <c r="R125" s="34" t="str">
        <f aca="false">IF(L125&gt;$B$6,"",Q125-MAX($Q$5:Q125))</f>
        <v/>
      </c>
    </row>
    <row r="126" customFormat="false" ht="15" hidden="false" customHeight="false" outlineLevel="0" collapsed="false">
      <c r="L126" s="0" t="n">
        <v>121</v>
      </c>
      <c r="M126" s="37" t="str">
        <f aca="false">IF(L126&gt;$B$6,"",INDEX(Journal!$P$7:$P$506,MATCH(L126,Journal!$AI$7:$AI$506,0)))</f>
        <v/>
      </c>
      <c r="N126" s="0" t="str">
        <f aca="false">IF(L126&gt;$B$6,"",INDEX(Journal!$A$7:$A$506,MATCH(L126,Journal!$AI$7:$AI$506,0)))</f>
        <v/>
      </c>
      <c r="O126" s="34" t="str">
        <f aca="false">IF(L126&gt;$B$6,"",INDEX(Journal!$AC$7:$AC$506,MATCH(L126,Journal!$AI$7:$AI$506,0)))</f>
        <v/>
      </c>
      <c r="P126" s="35" t="str">
        <f aca="false">IF(L126&gt;$B$6,"",INDEX(Journal!$AD$7:$AD$506,MATCH(L126,Journal!$AI$7:$AI$506,0)))</f>
        <v/>
      </c>
      <c r="Q126" s="34" t="n">
        <f aca="false">IF(L126&gt;$B$6,Q125,Q125+O126)</f>
        <v>20000</v>
      </c>
      <c r="R126" s="34" t="str">
        <f aca="false">IF(L126&gt;$B$6,"",Q126-MAX($Q$5:Q126))</f>
        <v/>
      </c>
    </row>
    <row r="127" customFormat="false" ht="15" hidden="false" customHeight="false" outlineLevel="0" collapsed="false">
      <c r="L127" s="0" t="n">
        <v>122</v>
      </c>
      <c r="M127" s="37" t="str">
        <f aca="false">IF(L127&gt;$B$6,"",INDEX(Journal!$P$7:$P$506,MATCH(L127,Journal!$AI$7:$AI$506,0)))</f>
        <v/>
      </c>
      <c r="N127" s="0" t="str">
        <f aca="false">IF(L127&gt;$B$6,"",INDEX(Journal!$A$7:$A$506,MATCH(L127,Journal!$AI$7:$AI$506,0)))</f>
        <v/>
      </c>
      <c r="O127" s="34" t="str">
        <f aca="false">IF(L127&gt;$B$6,"",INDEX(Journal!$AC$7:$AC$506,MATCH(L127,Journal!$AI$7:$AI$506,0)))</f>
        <v/>
      </c>
      <c r="P127" s="35" t="str">
        <f aca="false">IF(L127&gt;$B$6,"",INDEX(Journal!$AD$7:$AD$506,MATCH(L127,Journal!$AI$7:$AI$506,0)))</f>
        <v/>
      </c>
      <c r="Q127" s="34" t="n">
        <f aca="false">IF(L127&gt;$B$6,Q126,Q126+O127)</f>
        <v>20000</v>
      </c>
      <c r="R127" s="34" t="str">
        <f aca="false">IF(L127&gt;$B$6,"",Q127-MAX($Q$5:Q127))</f>
        <v/>
      </c>
    </row>
    <row r="128" customFormat="false" ht="15" hidden="false" customHeight="false" outlineLevel="0" collapsed="false">
      <c r="L128" s="0" t="n">
        <v>123</v>
      </c>
      <c r="M128" s="37" t="str">
        <f aca="false">IF(L128&gt;$B$6,"",INDEX(Journal!$P$7:$P$506,MATCH(L128,Journal!$AI$7:$AI$506,0)))</f>
        <v/>
      </c>
      <c r="N128" s="0" t="str">
        <f aca="false">IF(L128&gt;$B$6,"",INDEX(Journal!$A$7:$A$506,MATCH(L128,Journal!$AI$7:$AI$506,0)))</f>
        <v/>
      </c>
      <c r="O128" s="34" t="str">
        <f aca="false">IF(L128&gt;$B$6,"",INDEX(Journal!$AC$7:$AC$506,MATCH(L128,Journal!$AI$7:$AI$506,0)))</f>
        <v/>
      </c>
      <c r="P128" s="35" t="str">
        <f aca="false">IF(L128&gt;$B$6,"",INDEX(Journal!$AD$7:$AD$506,MATCH(L128,Journal!$AI$7:$AI$506,0)))</f>
        <v/>
      </c>
      <c r="Q128" s="34" t="n">
        <f aca="false">IF(L128&gt;$B$6,Q127,Q127+O128)</f>
        <v>20000</v>
      </c>
      <c r="R128" s="34" t="str">
        <f aca="false">IF(L128&gt;$B$6,"",Q128-MAX($Q$5:Q128))</f>
        <v/>
      </c>
    </row>
    <row r="129" customFormat="false" ht="15" hidden="false" customHeight="false" outlineLevel="0" collapsed="false">
      <c r="L129" s="0" t="n">
        <v>124</v>
      </c>
      <c r="M129" s="37" t="str">
        <f aca="false">IF(L129&gt;$B$6,"",INDEX(Journal!$P$7:$P$506,MATCH(L129,Journal!$AI$7:$AI$506,0)))</f>
        <v/>
      </c>
      <c r="N129" s="0" t="str">
        <f aca="false">IF(L129&gt;$B$6,"",INDEX(Journal!$A$7:$A$506,MATCH(L129,Journal!$AI$7:$AI$506,0)))</f>
        <v/>
      </c>
      <c r="O129" s="34" t="str">
        <f aca="false">IF(L129&gt;$B$6,"",INDEX(Journal!$AC$7:$AC$506,MATCH(L129,Journal!$AI$7:$AI$506,0)))</f>
        <v/>
      </c>
      <c r="P129" s="35" t="str">
        <f aca="false">IF(L129&gt;$B$6,"",INDEX(Journal!$AD$7:$AD$506,MATCH(L129,Journal!$AI$7:$AI$506,0)))</f>
        <v/>
      </c>
      <c r="Q129" s="34" t="n">
        <f aca="false">IF(L129&gt;$B$6,Q128,Q128+O129)</f>
        <v>20000</v>
      </c>
      <c r="R129" s="34" t="str">
        <f aca="false">IF(L129&gt;$B$6,"",Q129-MAX($Q$5:Q129))</f>
        <v/>
      </c>
    </row>
    <row r="130" customFormat="false" ht="15" hidden="false" customHeight="false" outlineLevel="0" collapsed="false">
      <c r="L130" s="0" t="n">
        <v>125</v>
      </c>
      <c r="M130" s="37" t="str">
        <f aca="false">IF(L130&gt;$B$6,"",INDEX(Journal!$P$7:$P$506,MATCH(L130,Journal!$AI$7:$AI$506,0)))</f>
        <v/>
      </c>
      <c r="N130" s="0" t="str">
        <f aca="false">IF(L130&gt;$B$6,"",INDEX(Journal!$A$7:$A$506,MATCH(L130,Journal!$AI$7:$AI$506,0)))</f>
        <v/>
      </c>
      <c r="O130" s="34" t="str">
        <f aca="false">IF(L130&gt;$B$6,"",INDEX(Journal!$AC$7:$AC$506,MATCH(L130,Journal!$AI$7:$AI$506,0)))</f>
        <v/>
      </c>
      <c r="P130" s="35" t="str">
        <f aca="false">IF(L130&gt;$B$6,"",INDEX(Journal!$AD$7:$AD$506,MATCH(L130,Journal!$AI$7:$AI$506,0)))</f>
        <v/>
      </c>
      <c r="Q130" s="34" t="n">
        <f aca="false">IF(L130&gt;$B$6,Q129,Q129+O130)</f>
        <v>20000</v>
      </c>
      <c r="R130" s="34" t="str">
        <f aca="false">IF(L130&gt;$B$6,"",Q130-MAX($Q$5:Q130))</f>
        <v/>
      </c>
    </row>
    <row r="131" customFormat="false" ht="15" hidden="false" customHeight="false" outlineLevel="0" collapsed="false">
      <c r="L131" s="0" t="n">
        <v>126</v>
      </c>
      <c r="M131" s="37" t="str">
        <f aca="false">IF(L131&gt;$B$6,"",INDEX(Journal!$P$7:$P$506,MATCH(L131,Journal!$AI$7:$AI$506,0)))</f>
        <v/>
      </c>
      <c r="N131" s="0" t="str">
        <f aca="false">IF(L131&gt;$B$6,"",INDEX(Journal!$A$7:$A$506,MATCH(L131,Journal!$AI$7:$AI$506,0)))</f>
        <v/>
      </c>
      <c r="O131" s="34" t="str">
        <f aca="false">IF(L131&gt;$B$6,"",INDEX(Journal!$AC$7:$AC$506,MATCH(L131,Journal!$AI$7:$AI$506,0)))</f>
        <v/>
      </c>
      <c r="P131" s="35" t="str">
        <f aca="false">IF(L131&gt;$B$6,"",INDEX(Journal!$AD$7:$AD$506,MATCH(L131,Journal!$AI$7:$AI$506,0)))</f>
        <v/>
      </c>
      <c r="Q131" s="34" t="n">
        <f aca="false">IF(L131&gt;$B$6,Q130,Q130+O131)</f>
        <v>20000</v>
      </c>
      <c r="R131" s="34" t="str">
        <f aca="false">IF(L131&gt;$B$6,"",Q131-MAX($Q$5:Q131))</f>
        <v/>
      </c>
    </row>
    <row r="132" customFormat="false" ht="15" hidden="false" customHeight="false" outlineLevel="0" collapsed="false">
      <c r="L132" s="0" t="n">
        <v>127</v>
      </c>
      <c r="M132" s="37" t="str">
        <f aca="false">IF(L132&gt;$B$6,"",INDEX(Journal!$P$7:$P$506,MATCH(L132,Journal!$AI$7:$AI$506,0)))</f>
        <v/>
      </c>
      <c r="N132" s="0" t="str">
        <f aca="false">IF(L132&gt;$B$6,"",INDEX(Journal!$A$7:$A$506,MATCH(L132,Journal!$AI$7:$AI$506,0)))</f>
        <v/>
      </c>
      <c r="O132" s="34" t="str">
        <f aca="false">IF(L132&gt;$B$6,"",INDEX(Journal!$AC$7:$AC$506,MATCH(L132,Journal!$AI$7:$AI$506,0)))</f>
        <v/>
      </c>
      <c r="P132" s="35" t="str">
        <f aca="false">IF(L132&gt;$B$6,"",INDEX(Journal!$AD$7:$AD$506,MATCH(L132,Journal!$AI$7:$AI$506,0)))</f>
        <v/>
      </c>
      <c r="Q132" s="34" t="n">
        <f aca="false">IF(L132&gt;$B$6,Q131,Q131+O132)</f>
        <v>20000</v>
      </c>
      <c r="R132" s="34" t="str">
        <f aca="false">IF(L132&gt;$B$6,"",Q132-MAX($Q$5:Q132))</f>
        <v/>
      </c>
    </row>
    <row r="133" customFormat="false" ht="15" hidden="false" customHeight="false" outlineLevel="0" collapsed="false">
      <c r="L133" s="0" t="n">
        <v>128</v>
      </c>
      <c r="M133" s="37" t="str">
        <f aca="false">IF(L133&gt;$B$6,"",INDEX(Journal!$P$7:$P$506,MATCH(L133,Journal!$AI$7:$AI$506,0)))</f>
        <v/>
      </c>
      <c r="N133" s="0" t="str">
        <f aca="false">IF(L133&gt;$B$6,"",INDEX(Journal!$A$7:$A$506,MATCH(L133,Journal!$AI$7:$AI$506,0)))</f>
        <v/>
      </c>
      <c r="O133" s="34" t="str">
        <f aca="false">IF(L133&gt;$B$6,"",INDEX(Journal!$AC$7:$AC$506,MATCH(L133,Journal!$AI$7:$AI$506,0)))</f>
        <v/>
      </c>
      <c r="P133" s="35" t="str">
        <f aca="false">IF(L133&gt;$B$6,"",INDEX(Journal!$AD$7:$AD$506,MATCH(L133,Journal!$AI$7:$AI$506,0)))</f>
        <v/>
      </c>
      <c r="Q133" s="34" t="n">
        <f aca="false">IF(L133&gt;$B$6,Q132,Q132+O133)</f>
        <v>20000</v>
      </c>
      <c r="R133" s="34" t="str">
        <f aca="false">IF(L133&gt;$B$6,"",Q133-MAX($Q$5:Q133))</f>
        <v/>
      </c>
    </row>
    <row r="134" customFormat="false" ht="15" hidden="false" customHeight="false" outlineLevel="0" collapsed="false">
      <c r="L134" s="0" t="n">
        <v>129</v>
      </c>
      <c r="M134" s="37" t="str">
        <f aca="false">IF(L134&gt;$B$6,"",INDEX(Journal!$P$7:$P$506,MATCH(L134,Journal!$AI$7:$AI$506,0)))</f>
        <v/>
      </c>
      <c r="N134" s="0" t="str">
        <f aca="false">IF(L134&gt;$B$6,"",INDEX(Journal!$A$7:$A$506,MATCH(L134,Journal!$AI$7:$AI$506,0)))</f>
        <v/>
      </c>
      <c r="O134" s="34" t="str">
        <f aca="false">IF(L134&gt;$B$6,"",INDEX(Journal!$AC$7:$AC$506,MATCH(L134,Journal!$AI$7:$AI$506,0)))</f>
        <v/>
      </c>
      <c r="P134" s="35" t="str">
        <f aca="false">IF(L134&gt;$B$6,"",INDEX(Journal!$AD$7:$AD$506,MATCH(L134,Journal!$AI$7:$AI$506,0)))</f>
        <v/>
      </c>
      <c r="Q134" s="34" t="n">
        <f aca="false">IF(L134&gt;$B$6,Q133,Q133+O134)</f>
        <v>20000</v>
      </c>
      <c r="R134" s="34" t="str">
        <f aca="false">IF(L134&gt;$B$6,"",Q134-MAX($Q$5:Q134))</f>
        <v/>
      </c>
    </row>
    <row r="135" customFormat="false" ht="15" hidden="false" customHeight="false" outlineLevel="0" collapsed="false">
      <c r="L135" s="0" t="n">
        <v>130</v>
      </c>
      <c r="M135" s="37" t="str">
        <f aca="false">IF(L135&gt;$B$6,"",INDEX(Journal!$P$7:$P$506,MATCH(L135,Journal!$AI$7:$AI$506,0)))</f>
        <v/>
      </c>
      <c r="N135" s="0" t="str">
        <f aca="false">IF(L135&gt;$B$6,"",INDEX(Journal!$A$7:$A$506,MATCH(L135,Journal!$AI$7:$AI$506,0)))</f>
        <v/>
      </c>
      <c r="O135" s="34" t="str">
        <f aca="false">IF(L135&gt;$B$6,"",INDEX(Journal!$AC$7:$AC$506,MATCH(L135,Journal!$AI$7:$AI$506,0)))</f>
        <v/>
      </c>
      <c r="P135" s="35" t="str">
        <f aca="false">IF(L135&gt;$B$6,"",INDEX(Journal!$AD$7:$AD$506,MATCH(L135,Journal!$AI$7:$AI$506,0)))</f>
        <v/>
      </c>
      <c r="Q135" s="34" t="n">
        <f aca="false">IF(L135&gt;$B$6,Q134,Q134+O135)</f>
        <v>20000</v>
      </c>
      <c r="R135" s="34" t="str">
        <f aca="false">IF(L135&gt;$B$6,"",Q135-MAX($Q$5:Q135))</f>
        <v/>
      </c>
    </row>
    <row r="136" customFormat="false" ht="15" hidden="false" customHeight="false" outlineLevel="0" collapsed="false">
      <c r="L136" s="0" t="n">
        <v>131</v>
      </c>
      <c r="M136" s="37" t="str">
        <f aca="false">IF(L136&gt;$B$6,"",INDEX(Journal!$P$7:$P$506,MATCH(L136,Journal!$AI$7:$AI$506,0)))</f>
        <v/>
      </c>
      <c r="N136" s="0" t="str">
        <f aca="false">IF(L136&gt;$B$6,"",INDEX(Journal!$A$7:$A$506,MATCH(L136,Journal!$AI$7:$AI$506,0)))</f>
        <v/>
      </c>
      <c r="O136" s="34" t="str">
        <f aca="false">IF(L136&gt;$B$6,"",INDEX(Journal!$AC$7:$AC$506,MATCH(L136,Journal!$AI$7:$AI$506,0)))</f>
        <v/>
      </c>
      <c r="P136" s="35" t="str">
        <f aca="false">IF(L136&gt;$B$6,"",INDEX(Journal!$AD$7:$AD$506,MATCH(L136,Journal!$AI$7:$AI$506,0)))</f>
        <v/>
      </c>
      <c r="Q136" s="34" t="n">
        <f aca="false">IF(L136&gt;$B$6,Q135,Q135+O136)</f>
        <v>20000</v>
      </c>
      <c r="R136" s="34" t="str">
        <f aca="false">IF(L136&gt;$B$6,"",Q136-MAX($Q$5:Q136))</f>
        <v/>
      </c>
    </row>
    <row r="137" customFormat="false" ht="15" hidden="false" customHeight="false" outlineLevel="0" collapsed="false">
      <c r="L137" s="0" t="n">
        <v>132</v>
      </c>
      <c r="M137" s="37" t="str">
        <f aca="false">IF(L137&gt;$B$6,"",INDEX(Journal!$P$7:$P$506,MATCH(L137,Journal!$AI$7:$AI$506,0)))</f>
        <v/>
      </c>
      <c r="N137" s="0" t="str">
        <f aca="false">IF(L137&gt;$B$6,"",INDEX(Journal!$A$7:$A$506,MATCH(L137,Journal!$AI$7:$AI$506,0)))</f>
        <v/>
      </c>
      <c r="O137" s="34" t="str">
        <f aca="false">IF(L137&gt;$B$6,"",INDEX(Journal!$AC$7:$AC$506,MATCH(L137,Journal!$AI$7:$AI$506,0)))</f>
        <v/>
      </c>
      <c r="P137" s="35" t="str">
        <f aca="false">IF(L137&gt;$B$6,"",INDEX(Journal!$AD$7:$AD$506,MATCH(L137,Journal!$AI$7:$AI$506,0)))</f>
        <v/>
      </c>
      <c r="Q137" s="34" t="n">
        <f aca="false">IF(L137&gt;$B$6,Q136,Q136+O137)</f>
        <v>20000</v>
      </c>
      <c r="R137" s="34" t="str">
        <f aca="false">IF(L137&gt;$B$6,"",Q137-MAX($Q$5:Q137))</f>
        <v/>
      </c>
    </row>
    <row r="138" customFormat="false" ht="15" hidden="false" customHeight="false" outlineLevel="0" collapsed="false">
      <c r="L138" s="0" t="n">
        <v>133</v>
      </c>
      <c r="M138" s="37" t="str">
        <f aca="false">IF(L138&gt;$B$6,"",INDEX(Journal!$P$7:$P$506,MATCH(L138,Journal!$AI$7:$AI$506,0)))</f>
        <v/>
      </c>
      <c r="N138" s="0" t="str">
        <f aca="false">IF(L138&gt;$B$6,"",INDEX(Journal!$A$7:$A$506,MATCH(L138,Journal!$AI$7:$AI$506,0)))</f>
        <v/>
      </c>
      <c r="O138" s="34" t="str">
        <f aca="false">IF(L138&gt;$B$6,"",INDEX(Journal!$AC$7:$AC$506,MATCH(L138,Journal!$AI$7:$AI$506,0)))</f>
        <v/>
      </c>
      <c r="P138" s="35" t="str">
        <f aca="false">IF(L138&gt;$B$6,"",INDEX(Journal!$AD$7:$AD$506,MATCH(L138,Journal!$AI$7:$AI$506,0)))</f>
        <v/>
      </c>
      <c r="Q138" s="34" t="n">
        <f aca="false">IF(L138&gt;$B$6,Q137,Q137+O138)</f>
        <v>20000</v>
      </c>
      <c r="R138" s="34" t="str">
        <f aca="false">IF(L138&gt;$B$6,"",Q138-MAX($Q$5:Q138))</f>
        <v/>
      </c>
    </row>
    <row r="139" customFormat="false" ht="15" hidden="false" customHeight="false" outlineLevel="0" collapsed="false">
      <c r="L139" s="0" t="n">
        <v>134</v>
      </c>
      <c r="M139" s="37" t="str">
        <f aca="false">IF(L139&gt;$B$6,"",INDEX(Journal!$P$7:$P$506,MATCH(L139,Journal!$AI$7:$AI$506,0)))</f>
        <v/>
      </c>
      <c r="N139" s="0" t="str">
        <f aca="false">IF(L139&gt;$B$6,"",INDEX(Journal!$A$7:$A$506,MATCH(L139,Journal!$AI$7:$AI$506,0)))</f>
        <v/>
      </c>
      <c r="O139" s="34" t="str">
        <f aca="false">IF(L139&gt;$B$6,"",INDEX(Journal!$AC$7:$AC$506,MATCH(L139,Journal!$AI$7:$AI$506,0)))</f>
        <v/>
      </c>
      <c r="P139" s="35" t="str">
        <f aca="false">IF(L139&gt;$B$6,"",INDEX(Journal!$AD$7:$AD$506,MATCH(L139,Journal!$AI$7:$AI$506,0)))</f>
        <v/>
      </c>
      <c r="Q139" s="34" t="n">
        <f aca="false">IF(L139&gt;$B$6,Q138,Q138+O139)</f>
        <v>20000</v>
      </c>
      <c r="R139" s="34" t="str">
        <f aca="false">IF(L139&gt;$B$6,"",Q139-MAX($Q$5:Q139))</f>
        <v/>
      </c>
    </row>
    <row r="140" customFormat="false" ht="15" hidden="false" customHeight="false" outlineLevel="0" collapsed="false">
      <c r="L140" s="0" t="n">
        <v>135</v>
      </c>
      <c r="M140" s="37" t="str">
        <f aca="false">IF(L140&gt;$B$6,"",INDEX(Journal!$P$7:$P$506,MATCH(L140,Journal!$AI$7:$AI$506,0)))</f>
        <v/>
      </c>
      <c r="N140" s="0" t="str">
        <f aca="false">IF(L140&gt;$B$6,"",INDEX(Journal!$A$7:$A$506,MATCH(L140,Journal!$AI$7:$AI$506,0)))</f>
        <v/>
      </c>
      <c r="O140" s="34" t="str">
        <f aca="false">IF(L140&gt;$B$6,"",INDEX(Journal!$AC$7:$AC$506,MATCH(L140,Journal!$AI$7:$AI$506,0)))</f>
        <v/>
      </c>
      <c r="P140" s="35" t="str">
        <f aca="false">IF(L140&gt;$B$6,"",INDEX(Journal!$AD$7:$AD$506,MATCH(L140,Journal!$AI$7:$AI$506,0)))</f>
        <v/>
      </c>
      <c r="Q140" s="34" t="n">
        <f aca="false">IF(L140&gt;$B$6,Q139,Q139+O140)</f>
        <v>20000</v>
      </c>
      <c r="R140" s="34" t="str">
        <f aca="false">IF(L140&gt;$B$6,"",Q140-MAX($Q$5:Q140))</f>
        <v/>
      </c>
    </row>
    <row r="141" customFormat="false" ht="15" hidden="false" customHeight="false" outlineLevel="0" collapsed="false">
      <c r="L141" s="0" t="n">
        <v>136</v>
      </c>
      <c r="M141" s="37" t="str">
        <f aca="false">IF(L141&gt;$B$6,"",INDEX(Journal!$P$7:$P$506,MATCH(L141,Journal!$AI$7:$AI$506,0)))</f>
        <v/>
      </c>
      <c r="N141" s="0" t="str">
        <f aca="false">IF(L141&gt;$B$6,"",INDEX(Journal!$A$7:$A$506,MATCH(L141,Journal!$AI$7:$AI$506,0)))</f>
        <v/>
      </c>
      <c r="O141" s="34" t="str">
        <f aca="false">IF(L141&gt;$B$6,"",INDEX(Journal!$AC$7:$AC$506,MATCH(L141,Journal!$AI$7:$AI$506,0)))</f>
        <v/>
      </c>
      <c r="P141" s="35" t="str">
        <f aca="false">IF(L141&gt;$B$6,"",INDEX(Journal!$AD$7:$AD$506,MATCH(L141,Journal!$AI$7:$AI$506,0)))</f>
        <v/>
      </c>
      <c r="Q141" s="34" t="n">
        <f aca="false">IF(L141&gt;$B$6,Q140,Q140+O141)</f>
        <v>20000</v>
      </c>
      <c r="R141" s="34" t="str">
        <f aca="false">IF(L141&gt;$B$6,"",Q141-MAX($Q$5:Q141))</f>
        <v/>
      </c>
    </row>
    <row r="142" customFormat="false" ht="15" hidden="false" customHeight="false" outlineLevel="0" collapsed="false">
      <c r="L142" s="0" t="n">
        <v>137</v>
      </c>
      <c r="M142" s="37" t="str">
        <f aca="false">IF(L142&gt;$B$6,"",INDEX(Journal!$P$7:$P$506,MATCH(L142,Journal!$AI$7:$AI$506,0)))</f>
        <v/>
      </c>
      <c r="N142" s="0" t="str">
        <f aca="false">IF(L142&gt;$B$6,"",INDEX(Journal!$A$7:$A$506,MATCH(L142,Journal!$AI$7:$AI$506,0)))</f>
        <v/>
      </c>
      <c r="O142" s="34" t="str">
        <f aca="false">IF(L142&gt;$B$6,"",INDEX(Journal!$AC$7:$AC$506,MATCH(L142,Journal!$AI$7:$AI$506,0)))</f>
        <v/>
      </c>
      <c r="P142" s="35" t="str">
        <f aca="false">IF(L142&gt;$B$6,"",INDEX(Journal!$AD$7:$AD$506,MATCH(L142,Journal!$AI$7:$AI$506,0)))</f>
        <v/>
      </c>
      <c r="Q142" s="34" t="n">
        <f aca="false">IF(L142&gt;$B$6,Q141,Q141+O142)</f>
        <v>20000</v>
      </c>
      <c r="R142" s="34" t="str">
        <f aca="false">IF(L142&gt;$B$6,"",Q142-MAX($Q$5:Q142))</f>
        <v/>
      </c>
    </row>
    <row r="143" customFormat="false" ht="15" hidden="false" customHeight="false" outlineLevel="0" collapsed="false">
      <c r="L143" s="0" t="n">
        <v>138</v>
      </c>
      <c r="M143" s="37" t="str">
        <f aca="false">IF(L143&gt;$B$6,"",INDEX(Journal!$P$7:$P$506,MATCH(L143,Journal!$AI$7:$AI$506,0)))</f>
        <v/>
      </c>
      <c r="N143" s="0" t="str">
        <f aca="false">IF(L143&gt;$B$6,"",INDEX(Journal!$A$7:$A$506,MATCH(L143,Journal!$AI$7:$AI$506,0)))</f>
        <v/>
      </c>
      <c r="O143" s="34" t="str">
        <f aca="false">IF(L143&gt;$B$6,"",INDEX(Journal!$AC$7:$AC$506,MATCH(L143,Journal!$AI$7:$AI$506,0)))</f>
        <v/>
      </c>
      <c r="P143" s="35" t="str">
        <f aca="false">IF(L143&gt;$B$6,"",INDEX(Journal!$AD$7:$AD$506,MATCH(L143,Journal!$AI$7:$AI$506,0)))</f>
        <v/>
      </c>
      <c r="Q143" s="34" t="n">
        <f aca="false">IF(L143&gt;$B$6,Q142,Q142+O143)</f>
        <v>20000</v>
      </c>
      <c r="R143" s="34" t="str">
        <f aca="false">IF(L143&gt;$B$6,"",Q143-MAX($Q$5:Q143))</f>
        <v/>
      </c>
    </row>
    <row r="144" customFormat="false" ht="15" hidden="false" customHeight="false" outlineLevel="0" collapsed="false">
      <c r="L144" s="0" t="n">
        <v>139</v>
      </c>
      <c r="M144" s="37" t="str">
        <f aca="false">IF(L144&gt;$B$6,"",INDEX(Journal!$P$7:$P$506,MATCH(L144,Journal!$AI$7:$AI$506,0)))</f>
        <v/>
      </c>
      <c r="N144" s="0" t="str">
        <f aca="false">IF(L144&gt;$B$6,"",INDEX(Journal!$A$7:$A$506,MATCH(L144,Journal!$AI$7:$AI$506,0)))</f>
        <v/>
      </c>
      <c r="O144" s="34" t="str">
        <f aca="false">IF(L144&gt;$B$6,"",INDEX(Journal!$AC$7:$AC$506,MATCH(L144,Journal!$AI$7:$AI$506,0)))</f>
        <v/>
      </c>
      <c r="P144" s="35" t="str">
        <f aca="false">IF(L144&gt;$B$6,"",INDEX(Journal!$AD$7:$AD$506,MATCH(L144,Journal!$AI$7:$AI$506,0)))</f>
        <v/>
      </c>
      <c r="Q144" s="34" t="n">
        <f aca="false">IF(L144&gt;$B$6,Q143,Q143+O144)</f>
        <v>20000</v>
      </c>
      <c r="R144" s="34" t="str">
        <f aca="false">IF(L144&gt;$B$6,"",Q144-MAX($Q$5:Q144))</f>
        <v/>
      </c>
    </row>
    <row r="145" customFormat="false" ht="15" hidden="false" customHeight="false" outlineLevel="0" collapsed="false">
      <c r="L145" s="0" t="n">
        <v>140</v>
      </c>
      <c r="M145" s="37" t="str">
        <f aca="false">IF(L145&gt;$B$6,"",INDEX(Journal!$P$7:$P$506,MATCH(L145,Journal!$AI$7:$AI$506,0)))</f>
        <v/>
      </c>
      <c r="N145" s="0" t="str">
        <f aca="false">IF(L145&gt;$B$6,"",INDEX(Journal!$A$7:$A$506,MATCH(L145,Journal!$AI$7:$AI$506,0)))</f>
        <v/>
      </c>
      <c r="O145" s="34" t="str">
        <f aca="false">IF(L145&gt;$B$6,"",INDEX(Journal!$AC$7:$AC$506,MATCH(L145,Journal!$AI$7:$AI$506,0)))</f>
        <v/>
      </c>
      <c r="P145" s="35" t="str">
        <f aca="false">IF(L145&gt;$B$6,"",INDEX(Journal!$AD$7:$AD$506,MATCH(L145,Journal!$AI$7:$AI$506,0)))</f>
        <v/>
      </c>
      <c r="Q145" s="34" t="n">
        <f aca="false">IF(L145&gt;$B$6,Q144,Q144+O145)</f>
        <v>20000</v>
      </c>
      <c r="R145" s="34" t="str">
        <f aca="false">IF(L145&gt;$B$6,"",Q145-MAX($Q$5:Q145))</f>
        <v/>
      </c>
    </row>
    <row r="146" customFormat="false" ht="15" hidden="false" customHeight="false" outlineLevel="0" collapsed="false">
      <c r="L146" s="0" t="n">
        <v>141</v>
      </c>
      <c r="M146" s="37" t="str">
        <f aca="false">IF(L146&gt;$B$6,"",INDEX(Journal!$P$7:$P$506,MATCH(L146,Journal!$AI$7:$AI$506,0)))</f>
        <v/>
      </c>
      <c r="N146" s="0" t="str">
        <f aca="false">IF(L146&gt;$B$6,"",INDEX(Journal!$A$7:$A$506,MATCH(L146,Journal!$AI$7:$AI$506,0)))</f>
        <v/>
      </c>
      <c r="O146" s="34" t="str">
        <f aca="false">IF(L146&gt;$B$6,"",INDEX(Journal!$AC$7:$AC$506,MATCH(L146,Journal!$AI$7:$AI$506,0)))</f>
        <v/>
      </c>
      <c r="P146" s="35" t="str">
        <f aca="false">IF(L146&gt;$B$6,"",INDEX(Journal!$AD$7:$AD$506,MATCH(L146,Journal!$AI$7:$AI$506,0)))</f>
        <v/>
      </c>
      <c r="Q146" s="34" t="n">
        <f aca="false">IF(L146&gt;$B$6,Q145,Q145+O146)</f>
        <v>20000</v>
      </c>
      <c r="R146" s="34" t="str">
        <f aca="false">IF(L146&gt;$B$6,"",Q146-MAX($Q$5:Q146))</f>
        <v/>
      </c>
    </row>
    <row r="147" customFormat="false" ht="15" hidden="false" customHeight="false" outlineLevel="0" collapsed="false">
      <c r="L147" s="0" t="n">
        <v>142</v>
      </c>
      <c r="M147" s="37" t="str">
        <f aca="false">IF(L147&gt;$B$6,"",INDEX(Journal!$P$7:$P$506,MATCH(L147,Journal!$AI$7:$AI$506,0)))</f>
        <v/>
      </c>
      <c r="N147" s="0" t="str">
        <f aca="false">IF(L147&gt;$B$6,"",INDEX(Journal!$A$7:$A$506,MATCH(L147,Journal!$AI$7:$AI$506,0)))</f>
        <v/>
      </c>
      <c r="O147" s="34" t="str">
        <f aca="false">IF(L147&gt;$B$6,"",INDEX(Journal!$AC$7:$AC$506,MATCH(L147,Journal!$AI$7:$AI$506,0)))</f>
        <v/>
      </c>
      <c r="P147" s="35" t="str">
        <f aca="false">IF(L147&gt;$B$6,"",INDEX(Journal!$AD$7:$AD$506,MATCH(L147,Journal!$AI$7:$AI$506,0)))</f>
        <v/>
      </c>
      <c r="Q147" s="34" t="n">
        <f aca="false">IF(L147&gt;$B$6,Q146,Q146+O147)</f>
        <v>20000</v>
      </c>
      <c r="R147" s="34" t="str">
        <f aca="false">IF(L147&gt;$B$6,"",Q147-MAX($Q$5:Q147))</f>
        <v/>
      </c>
    </row>
    <row r="148" customFormat="false" ht="15" hidden="false" customHeight="false" outlineLevel="0" collapsed="false">
      <c r="L148" s="0" t="n">
        <v>143</v>
      </c>
      <c r="M148" s="37" t="str">
        <f aca="false">IF(L148&gt;$B$6,"",INDEX(Journal!$P$7:$P$506,MATCH(L148,Journal!$AI$7:$AI$506,0)))</f>
        <v/>
      </c>
      <c r="N148" s="0" t="str">
        <f aca="false">IF(L148&gt;$B$6,"",INDEX(Journal!$A$7:$A$506,MATCH(L148,Journal!$AI$7:$AI$506,0)))</f>
        <v/>
      </c>
      <c r="O148" s="34" t="str">
        <f aca="false">IF(L148&gt;$B$6,"",INDEX(Journal!$AC$7:$AC$506,MATCH(L148,Journal!$AI$7:$AI$506,0)))</f>
        <v/>
      </c>
      <c r="P148" s="35" t="str">
        <f aca="false">IF(L148&gt;$B$6,"",INDEX(Journal!$AD$7:$AD$506,MATCH(L148,Journal!$AI$7:$AI$506,0)))</f>
        <v/>
      </c>
      <c r="Q148" s="34" t="n">
        <f aca="false">IF(L148&gt;$B$6,Q147,Q147+O148)</f>
        <v>20000</v>
      </c>
      <c r="R148" s="34" t="str">
        <f aca="false">IF(L148&gt;$B$6,"",Q148-MAX($Q$5:Q148))</f>
        <v/>
      </c>
    </row>
    <row r="149" customFormat="false" ht="15" hidden="false" customHeight="false" outlineLevel="0" collapsed="false">
      <c r="L149" s="0" t="n">
        <v>144</v>
      </c>
      <c r="M149" s="37" t="str">
        <f aca="false">IF(L149&gt;$B$6,"",INDEX(Journal!$P$7:$P$506,MATCH(L149,Journal!$AI$7:$AI$506,0)))</f>
        <v/>
      </c>
      <c r="N149" s="0" t="str">
        <f aca="false">IF(L149&gt;$B$6,"",INDEX(Journal!$A$7:$A$506,MATCH(L149,Journal!$AI$7:$AI$506,0)))</f>
        <v/>
      </c>
      <c r="O149" s="34" t="str">
        <f aca="false">IF(L149&gt;$B$6,"",INDEX(Journal!$AC$7:$AC$506,MATCH(L149,Journal!$AI$7:$AI$506,0)))</f>
        <v/>
      </c>
      <c r="P149" s="35" t="str">
        <f aca="false">IF(L149&gt;$B$6,"",INDEX(Journal!$AD$7:$AD$506,MATCH(L149,Journal!$AI$7:$AI$506,0)))</f>
        <v/>
      </c>
      <c r="Q149" s="34" t="n">
        <f aca="false">IF(L149&gt;$B$6,Q148,Q148+O149)</f>
        <v>20000</v>
      </c>
      <c r="R149" s="34" t="str">
        <f aca="false">IF(L149&gt;$B$6,"",Q149-MAX($Q$5:Q149))</f>
        <v/>
      </c>
    </row>
    <row r="150" customFormat="false" ht="15" hidden="false" customHeight="false" outlineLevel="0" collapsed="false">
      <c r="L150" s="0" t="n">
        <v>145</v>
      </c>
      <c r="M150" s="37" t="str">
        <f aca="false">IF(L150&gt;$B$6,"",INDEX(Journal!$P$7:$P$506,MATCH(L150,Journal!$AI$7:$AI$506,0)))</f>
        <v/>
      </c>
      <c r="N150" s="0" t="str">
        <f aca="false">IF(L150&gt;$B$6,"",INDEX(Journal!$A$7:$A$506,MATCH(L150,Journal!$AI$7:$AI$506,0)))</f>
        <v/>
      </c>
      <c r="O150" s="34" t="str">
        <f aca="false">IF(L150&gt;$B$6,"",INDEX(Journal!$AC$7:$AC$506,MATCH(L150,Journal!$AI$7:$AI$506,0)))</f>
        <v/>
      </c>
      <c r="P150" s="35" t="str">
        <f aca="false">IF(L150&gt;$B$6,"",INDEX(Journal!$AD$7:$AD$506,MATCH(L150,Journal!$AI$7:$AI$506,0)))</f>
        <v/>
      </c>
      <c r="Q150" s="34" t="n">
        <f aca="false">IF(L150&gt;$B$6,Q149,Q149+O150)</f>
        <v>20000</v>
      </c>
      <c r="R150" s="34" t="str">
        <f aca="false">IF(L150&gt;$B$6,"",Q150-MAX($Q$5:Q150))</f>
        <v/>
      </c>
    </row>
    <row r="151" customFormat="false" ht="15" hidden="false" customHeight="false" outlineLevel="0" collapsed="false">
      <c r="L151" s="0" t="n">
        <v>146</v>
      </c>
      <c r="M151" s="37" t="str">
        <f aca="false">IF(L151&gt;$B$6,"",INDEX(Journal!$P$7:$P$506,MATCH(L151,Journal!$AI$7:$AI$506,0)))</f>
        <v/>
      </c>
      <c r="N151" s="0" t="str">
        <f aca="false">IF(L151&gt;$B$6,"",INDEX(Journal!$A$7:$A$506,MATCH(L151,Journal!$AI$7:$AI$506,0)))</f>
        <v/>
      </c>
      <c r="O151" s="34" t="str">
        <f aca="false">IF(L151&gt;$B$6,"",INDEX(Journal!$AC$7:$AC$506,MATCH(L151,Journal!$AI$7:$AI$506,0)))</f>
        <v/>
      </c>
      <c r="P151" s="35" t="str">
        <f aca="false">IF(L151&gt;$B$6,"",INDEX(Journal!$AD$7:$AD$506,MATCH(L151,Journal!$AI$7:$AI$506,0)))</f>
        <v/>
      </c>
      <c r="Q151" s="34" t="n">
        <f aca="false">IF(L151&gt;$B$6,Q150,Q150+O151)</f>
        <v>20000</v>
      </c>
      <c r="R151" s="34" t="str">
        <f aca="false">IF(L151&gt;$B$6,"",Q151-MAX($Q$5:Q151))</f>
        <v/>
      </c>
    </row>
    <row r="152" customFormat="false" ht="15" hidden="false" customHeight="false" outlineLevel="0" collapsed="false">
      <c r="L152" s="0" t="n">
        <v>147</v>
      </c>
      <c r="M152" s="37" t="str">
        <f aca="false">IF(L152&gt;$B$6,"",INDEX(Journal!$P$7:$P$506,MATCH(L152,Journal!$AI$7:$AI$506,0)))</f>
        <v/>
      </c>
      <c r="N152" s="0" t="str">
        <f aca="false">IF(L152&gt;$B$6,"",INDEX(Journal!$A$7:$A$506,MATCH(L152,Journal!$AI$7:$AI$506,0)))</f>
        <v/>
      </c>
      <c r="O152" s="34" t="str">
        <f aca="false">IF(L152&gt;$B$6,"",INDEX(Journal!$AC$7:$AC$506,MATCH(L152,Journal!$AI$7:$AI$506,0)))</f>
        <v/>
      </c>
      <c r="P152" s="35" t="str">
        <f aca="false">IF(L152&gt;$B$6,"",INDEX(Journal!$AD$7:$AD$506,MATCH(L152,Journal!$AI$7:$AI$506,0)))</f>
        <v/>
      </c>
      <c r="Q152" s="34" t="n">
        <f aca="false">IF(L152&gt;$B$6,Q151,Q151+O152)</f>
        <v>20000</v>
      </c>
      <c r="R152" s="34" t="str">
        <f aca="false">IF(L152&gt;$B$6,"",Q152-MAX($Q$5:Q152))</f>
        <v/>
      </c>
    </row>
    <row r="153" customFormat="false" ht="15" hidden="false" customHeight="false" outlineLevel="0" collapsed="false">
      <c r="L153" s="0" t="n">
        <v>148</v>
      </c>
      <c r="M153" s="37" t="str">
        <f aca="false">IF(L153&gt;$B$6,"",INDEX(Journal!$P$7:$P$506,MATCH(L153,Journal!$AI$7:$AI$506,0)))</f>
        <v/>
      </c>
      <c r="N153" s="0" t="str">
        <f aca="false">IF(L153&gt;$B$6,"",INDEX(Journal!$A$7:$A$506,MATCH(L153,Journal!$AI$7:$AI$506,0)))</f>
        <v/>
      </c>
      <c r="O153" s="34" t="str">
        <f aca="false">IF(L153&gt;$B$6,"",INDEX(Journal!$AC$7:$AC$506,MATCH(L153,Journal!$AI$7:$AI$506,0)))</f>
        <v/>
      </c>
      <c r="P153" s="35" t="str">
        <f aca="false">IF(L153&gt;$B$6,"",INDEX(Journal!$AD$7:$AD$506,MATCH(L153,Journal!$AI$7:$AI$506,0)))</f>
        <v/>
      </c>
      <c r="Q153" s="34" t="n">
        <f aca="false">IF(L153&gt;$B$6,Q152,Q152+O153)</f>
        <v>20000</v>
      </c>
      <c r="R153" s="34" t="str">
        <f aca="false">IF(L153&gt;$B$6,"",Q153-MAX($Q$5:Q153))</f>
        <v/>
      </c>
    </row>
    <row r="154" customFormat="false" ht="15" hidden="false" customHeight="false" outlineLevel="0" collapsed="false">
      <c r="L154" s="0" t="n">
        <v>149</v>
      </c>
      <c r="M154" s="37" t="str">
        <f aca="false">IF(L154&gt;$B$6,"",INDEX(Journal!$P$7:$P$506,MATCH(L154,Journal!$AI$7:$AI$506,0)))</f>
        <v/>
      </c>
      <c r="N154" s="0" t="str">
        <f aca="false">IF(L154&gt;$B$6,"",INDEX(Journal!$A$7:$A$506,MATCH(L154,Journal!$AI$7:$AI$506,0)))</f>
        <v/>
      </c>
      <c r="O154" s="34" t="str">
        <f aca="false">IF(L154&gt;$B$6,"",INDEX(Journal!$AC$7:$AC$506,MATCH(L154,Journal!$AI$7:$AI$506,0)))</f>
        <v/>
      </c>
      <c r="P154" s="35" t="str">
        <f aca="false">IF(L154&gt;$B$6,"",INDEX(Journal!$AD$7:$AD$506,MATCH(L154,Journal!$AI$7:$AI$506,0)))</f>
        <v/>
      </c>
      <c r="Q154" s="34" t="n">
        <f aca="false">IF(L154&gt;$B$6,Q153,Q153+O154)</f>
        <v>20000</v>
      </c>
      <c r="R154" s="34" t="str">
        <f aca="false">IF(L154&gt;$B$6,"",Q154-MAX($Q$5:Q154))</f>
        <v/>
      </c>
    </row>
    <row r="155" customFormat="false" ht="15" hidden="false" customHeight="false" outlineLevel="0" collapsed="false">
      <c r="L155" s="0" t="n">
        <v>150</v>
      </c>
      <c r="M155" s="37" t="str">
        <f aca="false">IF(L155&gt;$B$6,"",INDEX(Journal!$P$7:$P$506,MATCH(L155,Journal!$AI$7:$AI$506,0)))</f>
        <v/>
      </c>
      <c r="N155" s="0" t="str">
        <f aca="false">IF(L155&gt;$B$6,"",INDEX(Journal!$A$7:$A$506,MATCH(L155,Journal!$AI$7:$AI$506,0)))</f>
        <v/>
      </c>
      <c r="O155" s="34" t="str">
        <f aca="false">IF(L155&gt;$B$6,"",INDEX(Journal!$AC$7:$AC$506,MATCH(L155,Journal!$AI$7:$AI$506,0)))</f>
        <v/>
      </c>
      <c r="P155" s="35" t="str">
        <f aca="false">IF(L155&gt;$B$6,"",INDEX(Journal!$AD$7:$AD$506,MATCH(L155,Journal!$AI$7:$AI$506,0)))</f>
        <v/>
      </c>
      <c r="Q155" s="34" t="n">
        <f aca="false">IF(L155&gt;$B$6,Q154,Q154+O155)</f>
        <v>20000</v>
      </c>
      <c r="R155" s="34" t="str">
        <f aca="false">IF(L155&gt;$B$6,"",Q155-MAX($Q$5:Q155))</f>
        <v/>
      </c>
    </row>
    <row r="156" customFormat="false" ht="15" hidden="false" customHeight="false" outlineLevel="0" collapsed="false">
      <c r="L156" s="0" t="n">
        <v>151</v>
      </c>
      <c r="M156" s="37" t="str">
        <f aca="false">IF(L156&gt;$B$6,"",INDEX(Journal!$P$7:$P$506,MATCH(L156,Journal!$AI$7:$AI$506,0)))</f>
        <v/>
      </c>
      <c r="N156" s="0" t="str">
        <f aca="false">IF(L156&gt;$B$6,"",INDEX(Journal!$A$7:$A$506,MATCH(L156,Journal!$AI$7:$AI$506,0)))</f>
        <v/>
      </c>
      <c r="O156" s="34" t="str">
        <f aca="false">IF(L156&gt;$B$6,"",INDEX(Journal!$AC$7:$AC$506,MATCH(L156,Journal!$AI$7:$AI$506,0)))</f>
        <v/>
      </c>
      <c r="P156" s="35" t="str">
        <f aca="false">IF(L156&gt;$B$6,"",INDEX(Journal!$AD$7:$AD$506,MATCH(L156,Journal!$AI$7:$AI$506,0)))</f>
        <v/>
      </c>
      <c r="Q156" s="34" t="n">
        <f aca="false">IF(L156&gt;$B$6,Q155,Q155+O156)</f>
        <v>20000</v>
      </c>
      <c r="R156" s="34" t="str">
        <f aca="false">IF(L156&gt;$B$6,"",Q156-MAX($Q$5:Q156))</f>
        <v/>
      </c>
    </row>
    <row r="157" customFormat="false" ht="15" hidden="false" customHeight="false" outlineLevel="0" collapsed="false">
      <c r="L157" s="0" t="n">
        <v>152</v>
      </c>
      <c r="M157" s="37" t="str">
        <f aca="false">IF(L157&gt;$B$6,"",INDEX(Journal!$P$7:$P$506,MATCH(L157,Journal!$AI$7:$AI$506,0)))</f>
        <v/>
      </c>
      <c r="N157" s="0" t="str">
        <f aca="false">IF(L157&gt;$B$6,"",INDEX(Journal!$A$7:$A$506,MATCH(L157,Journal!$AI$7:$AI$506,0)))</f>
        <v/>
      </c>
      <c r="O157" s="34" t="str">
        <f aca="false">IF(L157&gt;$B$6,"",INDEX(Journal!$AC$7:$AC$506,MATCH(L157,Journal!$AI$7:$AI$506,0)))</f>
        <v/>
      </c>
      <c r="P157" s="35" t="str">
        <f aca="false">IF(L157&gt;$B$6,"",INDEX(Journal!$AD$7:$AD$506,MATCH(L157,Journal!$AI$7:$AI$506,0)))</f>
        <v/>
      </c>
      <c r="Q157" s="34" t="n">
        <f aca="false">IF(L157&gt;$B$6,Q156,Q156+O157)</f>
        <v>20000</v>
      </c>
      <c r="R157" s="34" t="str">
        <f aca="false">IF(L157&gt;$B$6,"",Q157-MAX($Q$5:Q157))</f>
        <v/>
      </c>
    </row>
    <row r="158" customFormat="false" ht="15" hidden="false" customHeight="false" outlineLevel="0" collapsed="false">
      <c r="L158" s="0" t="n">
        <v>153</v>
      </c>
      <c r="M158" s="37" t="str">
        <f aca="false">IF(L158&gt;$B$6,"",INDEX(Journal!$P$7:$P$506,MATCH(L158,Journal!$AI$7:$AI$506,0)))</f>
        <v/>
      </c>
      <c r="N158" s="0" t="str">
        <f aca="false">IF(L158&gt;$B$6,"",INDEX(Journal!$A$7:$A$506,MATCH(L158,Journal!$AI$7:$AI$506,0)))</f>
        <v/>
      </c>
      <c r="O158" s="34" t="str">
        <f aca="false">IF(L158&gt;$B$6,"",INDEX(Journal!$AC$7:$AC$506,MATCH(L158,Journal!$AI$7:$AI$506,0)))</f>
        <v/>
      </c>
      <c r="P158" s="35" t="str">
        <f aca="false">IF(L158&gt;$B$6,"",INDEX(Journal!$AD$7:$AD$506,MATCH(L158,Journal!$AI$7:$AI$506,0)))</f>
        <v/>
      </c>
      <c r="Q158" s="34" t="n">
        <f aca="false">IF(L158&gt;$B$6,Q157,Q157+O158)</f>
        <v>20000</v>
      </c>
      <c r="R158" s="34" t="str">
        <f aca="false">IF(L158&gt;$B$6,"",Q158-MAX($Q$5:Q158))</f>
        <v/>
      </c>
    </row>
    <row r="159" customFormat="false" ht="15" hidden="false" customHeight="false" outlineLevel="0" collapsed="false">
      <c r="L159" s="0" t="n">
        <v>154</v>
      </c>
      <c r="M159" s="37" t="str">
        <f aca="false">IF(L159&gt;$B$6,"",INDEX(Journal!$P$7:$P$506,MATCH(L159,Journal!$AI$7:$AI$506,0)))</f>
        <v/>
      </c>
      <c r="N159" s="0" t="str">
        <f aca="false">IF(L159&gt;$B$6,"",INDEX(Journal!$A$7:$A$506,MATCH(L159,Journal!$AI$7:$AI$506,0)))</f>
        <v/>
      </c>
      <c r="O159" s="34" t="str">
        <f aca="false">IF(L159&gt;$B$6,"",INDEX(Journal!$AC$7:$AC$506,MATCH(L159,Journal!$AI$7:$AI$506,0)))</f>
        <v/>
      </c>
      <c r="P159" s="35" t="str">
        <f aca="false">IF(L159&gt;$B$6,"",INDEX(Journal!$AD$7:$AD$506,MATCH(L159,Journal!$AI$7:$AI$506,0)))</f>
        <v/>
      </c>
      <c r="Q159" s="34" t="n">
        <f aca="false">IF(L159&gt;$B$6,Q158,Q158+O159)</f>
        <v>20000</v>
      </c>
      <c r="R159" s="34" t="str">
        <f aca="false">IF(L159&gt;$B$6,"",Q159-MAX($Q$5:Q159))</f>
        <v/>
      </c>
    </row>
    <row r="160" customFormat="false" ht="15" hidden="false" customHeight="false" outlineLevel="0" collapsed="false">
      <c r="L160" s="0" t="n">
        <v>155</v>
      </c>
      <c r="M160" s="37" t="str">
        <f aca="false">IF(L160&gt;$B$6,"",INDEX(Journal!$P$7:$P$506,MATCH(L160,Journal!$AI$7:$AI$506,0)))</f>
        <v/>
      </c>
      <c r="N160" s="0" t="str">
        <f aca="false">IF(L160&gt;$B$6,"",INDEX(Journal!$A$7:$A$506,MATCH(L160,Journal!$AI$7:$AI$506,0)))</f>
        <v/>
      </c>
      <c r="O160" s="34" t="str">
        <f aca="false">IF(L160&gt;$B$6,"",INDEX(Journal!$AC$7:$AC$506,MATCH(L160,Journal!$AI$7:$AI$506,0)))</f>
        <v/>
      </c>
      <c r="P160" s="35" t="str">
        <f aca="false">IF(L160&gt;$B$6,"",INDEX(Journal!$AD$7:$AD$506,MATCH(L160,Journal!$AI$7:$AI$506,0)))</f>
        <v/>
      </c>
      <c r="Q160" s="34" t="n">
        <f aca="false">IF(L160&gt;$B$6,Q159,Q159+O160)</f>
        <v>20000</v>
      </c>
      <c r="R160" s="34" t="str">
        <f aca="false">IF(L160&gt;$B$6,"",Q160-MAX($Q$5:Q160))</f>
        <v/>
      </c>
    </row>
    <row r="161" customFormat="false" ht="15" hidden="false" customHeight="false" outlineLevel="0" collapsed="false">
      <c r="L161" s="0" t="n">
        <v>156</v>
      </c>
      <c r="M161" s="37" t="str">
        <f aca="false">IF(L161&gt;$B$6,"",INDEX(Journal!$P$7:$P$506,MATCH(L161,Journal!$AI$7:$AI$506,0)))</f>
        <v/>
      </c>
      <c r="N161" s="0" t="str">
        <f aca="false">IF(L161&gt;$B$6,"",INDEX(Journal!$A$7:$A$506,MATCH(L161,Journal!$AI$7:$AI$506,0)))</f>
        <v/>
      </c>
      <c r="O161" s="34" t="str">
        <f aca="false">IF(L161&gt;$B$6,"",INDEX(Journal!$AC$7:$AC$506,MATCH(L161,Journal!$AI$7:$AI$506,0)))</f>
        <v/>
      </c>
      <c r="P161" s="35" t="str">
        <f aca="false">IF(L161&gt;$B$6,"",INDEX(Journal!$AD$7:$AD$506,MATCH(L161,Journal!$AI$7:$AI$506,0)))</f>
        <v/>
      </c>
      <c r="Q161" s="34" t="n">
        <f aca="false">IF(L161&gt;$B$6,Q160,Q160+O161)</f>
        <v>20000</v>
      </c>
      <c r="R161" s="34" t="str">
        <f aca="false">IF(L161&gt;$B$6,"",Q161-MAX($Q$5:Q161))</f>
        <v/>
      </c>
    </row>
    <row r="162" customFormat="false" ht="15" hidden="false" customHeight="false" outlineLevel="0" collapsed="false">
      <c r="L162" s="0" t="n">
        <v>157</v>
      </c>
      <c r="M162" s="37" t="str">
        <f aca="false">IF(L162&gt;$B$6,"",INDEX(Journal!$P$7:$P$506,MATCH(L162,Journal!$AI$7:$AI$506,0)))</f>
        <v/>
      </c>
      <c r="N162" s="0" t="str">
        <f aca="false">IF(L162&gt;$B$6,"",INDEX(Journal!$A$7:$A$506,MATCH(L162,Journal!$AI$7:$AI$506,0)))</f>
        <v/>
      </c>
      <c r="O162" s="34" t="str">
        <f aca="false">IF(L162&gt;$B$6,"",INDEX(Journal!$AC$7:$AC$506,MATCH(L162,Journal!$AI$7:$AI$506,0)))</f>
        <v/>
      </c>
      <c r="P162" s="35" t="str">
        <f aca="false">IF(L162&gt;$B$6,"",INDEX(Journal!$AD$7:$AD$506,MATCH(L162,Journal!$AI$7:$AI$506,0)))</f>
        <v/>
      </c>
      <c r="Q162" s="34" t="n">
        <f aca="false">IF(L162&gt;$B$6,Q161,Q161+O162)</f>
        <v>20000</v>
      </c>
      <c r="R162" s="34" t="str">
        <f aca="false">IF(L162&gt;$B$6,"",Q162-MAX($Q$5:Q162))</f>
        <v/>
      </c>
    </row>
    <row r="163" customFormat="false" ht="15" hidden="false" customHeight="false" outlineLevel="0" collapsed="false">
      <c r="L163" s="0" t="n">
        <v>158</v>
      </c>
      <c r="M163" s="37" t="str">
        <f aca="false">IF(L163&gt;$B$6,"",INDEX(Journal!$P$7:$P$506,MATCH(L163,Journal!$AI$7:$AI$506,0)))</f>
        <v/>
      </c>
      <c r="N163" s="0" t="str">
        <f aca="false">IF(L163&gt;$B$6,"",INDEX(Journal!$A$7:$A$506,MATCH(L163,Journal!$AI$7:$AI$506,0)))</f>
        <v/>
      </c>
      <c r="O163" s="34" t="str">
        <f aca="false">IF(L163&gt;$B$6,"",INDEX(Journal!$AC$7:$AC$506,MATCH(L163,Journal!$AI$7:$AI$506,0)))</f>
        <v/>
      </c>
      <c r="P163" s="35" t="str">
        <f aca="false">IF(L163&gt;$B$6,"",INDEX(Journal!$AD$7:$AD$506,MATCH(L163,Journal!$AI$7:$AI$506,0)))</f>
        <v/>
      </c>
      <c r="Q163" s="34" t="n">
        <f aca="false">IF(L163&gt;$B$6,Q162,Q162+O163)</f>
        <v>20000</v>
      </c>
      <c r="R163" s="34" t="str">
        <f aca="false">IF(L163&gt;$B$6,"",Q163-MAX($Q$5:Q163))</f>
        <v/>
      </c>
    </row>
    <row r="164" customFormat="false" ht="15" hidden="false" customHeight="false" outlineLevel="0" collapsed="false">
      <c r="L164" s="0" t="n">
        <v>159</v>
      </c>
      <c r="M164" s="37" t="str">
        <f aca="false">IF(L164&gt;$B$6,"",INDEX(Journal!$P$7:$P$506,MATCH(L164,Journal!$AI$7:$AI$506,0)))</f>
        <v/>
      </c>
      <c r="N164" s="0" t="str">
        <f aca="false">IF(L164&gt;$B$6,"",INDEX(Journal!$A$7:$A$506,MATCH(L164,Journal!$AI$7:$AI$506,0)))</f>
        <v/>
      </c>
      <c r="O164" s="34" t="str">
        <f aca="false">IF(L164&gt;$B$6,"",INDEX(Journal!$AC$7:$AC$506,MATCH(L164,Journal!$AI$7:$AI$506,0)))</f>
        <v/>
      </c>
      <c r="P164" s="35" t="str">
        <f aca="false">IF(L164&gt;$B$6,"",INDEX(Journal!$AD$7:$AD$506,MATCH(L164,Journal!$AI$7:$AI$506,0)))</f>
        <v/>
      </c>
      <c r="Q164" s="34" t="n">
        <f aca="false">IF(L164&gt;$B$6,Q163,Q163+O164)</f>
        <v>20000</v>
      </c>
      <c r="R164" s="34" t="str">
        <f aca="false">IF(L164&gt;$B$6,"",Q164-MAX($Q$5:Q164))</f>
        <v/>
      </c>
    </row>
    <row r="165" customFormat="false" ht="15" hidden="false" customHeight="false" outlineLevel="0" collapsed="false">
      <c r="L165" s="0" t="n">
        <v>160</v>
      </c>
      <c r="M165" s="37" t="str">
        <f aca="false">IF(L165&gt;$B$6,"",INDEX(Journal!$P$7:$P$506,MATCH(L165,Journal!$AI$7:$AI$506,0)))</f>
        <v/>
      </c>
      <c r="N165" s="0" t="str">
        <f aca="false">IF(L165&gt;$B$6,"",INDEX(Journal!$A$7:$A$506,MATCH(L165,Journal!$AI$7:$AI$506,0)))</f>
        <v/>
      </c>
      <c r="O165" s="34" t="str">
        <f aca="false">IF(L165&gt;$B$6,"",INDEX(Journal!$AC$7:$AC$506,MATCH(L165,Journal!$AI$7:$AI$506,0)))</f>
        <v/>
      </c>
      <c r="P165" s="35" t="str">
        <f aca="false">IF(L165&gt;$B$6,"",INDEX(Journal!$AD$7:$AD$506,MATCH(L165,Journal!$AI$7:$AI$506,0)))</f>
        <v/>
      </c>
      <c r="Q165" s="34" t="n">
        <f aca="false">IF(L165&gt;$B$6,Q164,Q164+O165)</f>
        <v>20000</v>
      </c>
      <c r="R165" s="34" t="str">
        <f aca="false">IF(L165&gt;$B$6,"",Q165-MAX($Q$5:Q165))</f>
        <v/>
      </c>
    </row>
    <row r="166" customFormat="false" ht="15" hidden="false" customHeight="false" outlineLevel="0" collapsed="false">
      <c r="L166" s="0" t="n">
        <v>161</v>
      </c>
      <c r="M166" s="37" t="str">
        <f aca="false">IF(L166&gt;$B$6,"",INDEX(Journal!$P$7:$P$506,MATCH(L166,Journal!$AI$7:$AI$506,0)))</f>
        <v/>
      </c>
      <c r="N166" s="0" t="str">
        <f aca="false">IF(L166&gt;$B$6,"",INDEX(Journal!$A$7:$A$506,MATCH(L166,Journal!$AI$7:$AI$506,0)))</f>
        <v/>
      </c>
      <c r="O166" s="34" t="str">
        <f aca="false">IF(L166&gt;$B$6,"",INDEX(Journal!$AC$7:$AC$506,MATCH(L166,Journal!$AI$7:$AI$506,0)))</f>
        <v/>
      </c>
      <c r="P166" s="35" t="str">
        <f aca="false">IF(L166&gt;$B$6,"",INDEX(Journal!$AD$7:$AD$506,MATCH(L166,Journal!$AI$7:$AI$506,0)))</f>
        <v/>
      </c>
      <c r="Q166" s="34" t="n">
        <f aca="false">IF(L166&gt;$B$6,Q165,Q165+O166)</f>
        <v>20000</v>
      </c>
      <c r="R166" s="34" t="str">
        <f aca="false">IF(L166&gt;$B$6,"",Q166-MAX($Q$5:Q166))</f>
        <v/>
      </c>
    </row>
    <row r="167" customFormat="false" ht="15" hidden="false" customHeight="false" outlineLevel="0" collapsed="false">
      <c r="L167" s="0" t="n">
        <v>162</v>
      </c>
      <c r="M167" s="37" t="str">
        <f aca="false">IF(L167&gt;$B$6,"",INDEX(Journal!$P$7:$P$506,MATCH(L167,Journal!$AI$7:$AI$506,0)))</f>
        <v/>
      </c>
      <c r="N167" s="0" t="str">
        <f aca="false">IF(L167&gt;$B$6,"",INDEX(Journal!$A$7:$A$506,MATCH(L167,Journal!$AI$7:$AI$506,0)))</f>
        <v/>
      </c>
      <c r="O167" s="34" t="str">
        <f aca="false">IF(L167&gt;$B$6,"",INDEX(Journal!$AC$7:$AC$506,MATCH(L167,Journal!$AI$7:$AI$506,0)))</f>
        <v/>
      </c>
      <c r="P167" s="35" t="str">
        <f aca="false">IF(L167&gt;$B$6,"",INDEX(Journal!$AD$7:$AD$506,MATCH(L167,Journal!$AI$7:$AI$506,0)))</f>
        <v/>
      </c>
      <c r="Q167" s="34" t="n">
        <f aca="false">IF(L167&gt;$B$6,Q166,Q166+O167)</f>
        <v>20000</v>
      </c>
      <c r="R167" s="34" t="str">
        <f aca="false">IF(L167&gt;$B$6,"",Q167-MAX($Q$5:Q167))</f>
        <v/>
      </c>
    </row>
    <row r="168" customFormat="false" ht="15" hidden="false" customHeight="false" outlineLevel="0" collapsed="false">
      <c r="L168" s="0" t="n">
        <v>163</v>
      </c>
      <c r="M168" s="37" t="str">
        <f aca="false">IF(L168&gt;$B$6,"",INDEX(Journal!$P$7:$P$506,MATCH(L168,Journal!$AI$7:$AI$506,0)))</f>
        <v/>
      </c>
      <c r="N168" s="0" t="str">
        <f aca="false">IF(L168&gt;$B$6,"",INDEX(Journal!$A$7:$A$506,MATCH(L168,Journal!$AI$7:$AI$506,0)))</f>
        <v/>
      </c>
      <c r="O168" s="34" t="str">
        <f aca="false">IF(L168&gt;$B$6,"",INDEX(Journal!$AC$7:$AC$506,MATCH(L168,Journal!$AI$7:$AI$506,0)))</f>
        <v/>
      </c>
      <c r="P168" s="35" t="str">
        <f aca="false">IF(L168&gt;$B$6,"",INDEX(Journal!$AD$7:$AD$506,MATCH(L168,Journal!$AI$7:$AI$506,0)))</f>
        <v/>
      </c>
      <c r="Q168" s="34" t="n">
        <f aca="false">IF(L168&gt;$B$6,Q167,Q167+O168)</f>
        <v>20000</v>
      </c>
      <c r="R168" s="34" t="str">
        <f aca="false">IF(L168&gt;$B$6,"",Q168-MAX($Q$5:Q168))</f>
        <v/>
      </c>
    </row>
    <row r="169" customFormat="false" ht="15" hidden="false" customHeight="false" outlineLevel="0" collapsed="false">
      <c r="L169" s="0" t="n">
        <v>164</v>
      </c>
      <c r="M169" s="37" t="str">
        <f aca="false">IF(L169&gt;$B$6,"",INDEX(Journal!$P$7:$P$506,MATCH(L169,Journal!$AI$7:$AI$506,0)))</f>
        <v/>
      </c>
      <c r="N169" s="0" t="str">
        <f aca="false">IF(L169&gt;$B$6,"",INDEX(Journal!$A$7:$A$506,MATCH(L169,Journal!$AI$7:$AI$506,0)))</f>
        <v/>
      </c>
      <c r="O169" s="34" t="str">
        <f aca="false">IF(L169&gt;$B$6,"",INDEX(Journal!$AC$7:$AC$506,MATCH(L169,Journal!$AI$7:$AI$506,0)))</f>
        <v/>
      </c>
      <c r="P169" s="35" t="str">
        <f aca="false">IF(L169&gt;$B$6,"",INDEX(Journal!$AD$7:$AD$506,MATCH(L169,Journal!$AI$7:$AI$506,0)))</f>
        <v/>
      </c>
      <c r="Q169" s="34" t="n">
        <f aca="false">IF(L169&gt;$B$6,Q168,Q168+O169)</f>
        <v>20000</v>
      </c>
      <c r="R169" s="34" t="str">
        <f aca="false">IF(L169&gt;$B$6,"",Q169-MAX($Q$5:Q169))</f>
        <v/>
      </c>
    </row>
    <row r="170" customFormat="false" ht="15" hidden="false" customHeight="false" outlineLevel="0" collapsed="false">
      <c r="L170" s="0" t="n">
        <v>165</v>
      </c>
      <c r="M170" s="37" t="str">
        <f aca="false">IF(L170&gt;$B$6,"",INDEX(Journal!$P$7:$P$506,MATCH(L170,Journal!$AI$7:$AI$506,0)))</f>
        <v/>
      </c>
      <c r="N170" s="0" t="str">
        <f aca="false">IF(L170&gt;$B$6,"",INDEX(Journal!$A$7:$A$506,MATCH(L170,Journal!$AI$7:$AI$506,0)))</f>
        <v/>
      </c>
      <c r="O170" s="34" t="str">
        <f aca="false">IF(L170&gt;$B$6,"",INDEX(Journal!$AC$7:$AC$506,MATCH(L170,Journal!$AI$7:$AI$506,0)))</f>
        <v/>
      </c>
      <c r="P170" s="35" t="str">
        <f aca="false">IF(L170&gt;$B$6,"",INDEX(Journal!$AD$7:$AD$506,MATCH(L170,Journal!$AI$7:$AI$506,0)))</f>
        <v/>
      </c>
      <c r="Q170" s="34" t="n">
        <f aca="false">IF(L170&gt;$B$6,Q169,Q169+O170)</f>
        <v>20000</v>
      </c>
      <c r="R170" s="34" t="str">
        <f aca="false">IF(L170&gt;$B$6,"",Q170-MAX($Q$5:Q170))</f>
        <v/>
      </c>
    </row>
    <row r="171" customFormat="false" ht="15" hidden="false" customHeight="false" outlineLevel="0" collapsed="false">
      <c r="L171" s="0" t="n">
        <v>166</v>
      </c>
      <c r="M171" s="37" t="str">
        <f aca="false">IF(L171&gt;$B$6,"",INDEX(Journal!$P$7:$P$506,MATCH(L171,Journal!$AI$7:$AI$506,0)))</f>
        <v/>
      </c>
      <c r="N171" s="0" t="str">
        <f aca="false">IF(L171&gt;$B$6,"",INDEX(Journal!$A$7:$A$506,MATCH(L171,Journal!$AI$7:$AI$506,0)))</f>
        <v/>
      </c>
      <c r="O171" s="34" t="str">
        <f aca="false">IF(L171&gt;$B$6,"",INDEX(Journal!$AC$7:$AC$506,MATCH(L171,Journal!$AI$7:$AI$506,0)))</f>
        <v/>
      </c>
      <c r="P171" s="35" t="str">
        <f aca="false">IF(L171&gt;$B$6,"",INDEX(Journal!$AD$7:$AD$506,MATCH(L171,Journal!$AI$7:$AI$506,0)))</f>
        <v/>
      </c>
      <c r="Q171" s="34" t="n">
        <f aca="false">IF(L171&gt;$B$6,Q170,Q170+O171)</f>
        <v>20000</v>
      </c>
      <c r="R171" s="34" t="str">
        <f aca="false">IF(L171&gt;$B$6,"",Q171-MAX($Q$5:Q171))</f>
        <v/>
      </c>
    </row>
    <row r="172" customFormat="false" ht="15" hidden="false" customHeight="false" outlineLevel="0" collapsed="false">
      <c r="L172" s="0" t="n">
        <v>167</v>
      </c>
      <c r="M172" s="37" t="str">
        <f aca="false">IF(L172&gt;$B$6,"",INDEX(Journal!$P$7:$P$506,MATCH(L172,Journal!$AI$7:$AI$506,0)))</f>
        <v/>
      </c>
      <c r="N172" s="0" t="str">
        <f aca="false">IF(L172&gt;$B$6,"",INDEX(Journal!$A$7:$A$506,MATCH(L172,Journal!$AI$7:$AI$506,0)))</f>
        <v/>
      </c>
      <c r="O172" s="34" t="str">
        <f aca="false">IF(L172&gt;$B$6,"",INDEX(Journal!$AC$7:$AC$506,MATCH(L172,Journal!$AI$7:$AI$506,0)))</f>
        <v/>
      </c>
      <c r="P172" s="35" t="str">
        <f aca="false">IF(L172&gt;$B$6,"",INDEX(Journal!$AD$7:$AD$506,MATCH(L172,Journal!$AI$7:$AI$506,0)))</f>
        <v/>
      </c>
      <c r="Q172" s="34" t="n">
        <f aca="false">IF(L172&gt;$B$6,Q171,Q171+O172)</f>
        <v>20000</v>
      </c>
      <c r="R172" s="34" t="str">
        <f aca="false">IF(L172&gt;$B$6,"",Q172-MAX($Q$5:Q172))</f>
        <v/>
      </c>
    </row>
    <row r="173" customFormat="false" ht="15" hidden="false" customHeight="false" outlineLevel="0" collapsed="false">
      <c r="L173" s="0" t="n">
        <v>168</v>
      </c>
      <c r="M173" s="37" t="str">
        <f aca="false">IF(L173&gt;$B$6,"",INDEX(Journal!$P$7:$P$506,MATCH(L173,Journal!$AI$7:$AI$506,0)))</f>
        <v/>
      </c>
      <c r="N173" s="0" t="str">
        <f aca="false">IF(L173&gt;$B$6,"",INDEX(Journal!$A$7:$A$506,MATCH(L173,Journal!$AI$7:$AI$506,0)))</f>
        <v/>
      </c>
      <c r="O173" s="34" t="str">
        <f aca="false">IF(L173&gt;$B$6,"",INDEX(Journal!$AC$7:$AC$506,MATCH(L173,Journal!$AI$7:$AI$506,0)))</f>
        <v/>
      </c>
      <c r="P173" s="35" t="str">
        <f aca="false">IF(L173&gt;$B$6,"",INDEX(Journal!$AD$7:$AD$506,MATCH(L173,Journal!$AI$7:$AI$506,0)))</f>
        <v/>
      </c>
      <c r="Q173" s="34" t="n">
        <f aca="false">IF(L173&gt;$B$6,Q172,Q172+O173)</f>
        <v>20000</v>
      </c>
      <c r="R173" s="34" t="str">
        <f aca="false">IF(L173&gt;$B$6,"",Q173-MAX($Q$5:Q173))</f>
        <v/>
      </c>
    </row>
    <row r="174" customFormat="false" ht="15" hidden="false" customHeight="false" outlineLevel="0" collapsed="false">
      <c r="L174" s="0" t="n">
        <v>169</v>
      </c>
      <c r="M174" s="37" t="str">
        <f aca="false">IF(L174&gt;$B$6,"",INDEX(Journal!$P$7:$P$506,MATCH(L174,Journal!$AI$7:$AI$506,0)))</f>
        <v/>
      </c>
      <c r="N174" s="0" t="str">
        <f aca="false">IF(L174&gt;$B$6,"",INDEX(Journal!$A$7:$A$506,MATCH(L174,Journal!$AI$7:$AI$506,0)))</f>
        <v/>
      </c>
      <c r="O174" s="34" t="str">
        <f aca="false">IF(L174&gt;$B$6,"",INDEX(Journal!$AC$7:$AC$506,MATCH(L174,Journal!$AI$7:$AI$506,0)))</f>
        <v/>
      </c>
      <c r="P174" s="35" t="str">
        <f aca="false">IF(L174&gt;$B$6,"",INDEX(Journal!$AD$7:$AD$506,MATCH(L174,Journal!$AI$7:$AI$506,0)))</f>
        <v/>
      </c>
      <c r="Q174" s="34" t="n">
        <f aca="false">IF(L174&gt;$B$6,Q173,Q173+O174)</f>
        <v>20000</v>
      </c>
      <c r="R174" s="34" t="str">
        <f aca="false">IF(L174&gt;$B$6,"",Q174-MAX($Q$5:Q174))</f>
        <v/>
      </c>
    </row>
    <row r="175" customFormat="false" ht="15" hidden="false" customHeight="false" outlineLevel="0" collapsed="false">
      <c r="L175" s="0" t="n">
        <v>170</v>
      </c>
      <c r="M175" s="37" t="str">
        <f aca="false">IF(L175&gt;$B$6,"",INDEX(Journal!$P$7:$P$506,MATCH(L175,Journal!$AI$7:$AI$506,0)))</f>
        <v/>
      </c>
      <c r="N175" s="0" t="str">
        <f aca="false">IF(L175&gt;$B$6,"",INDEX(Journal!$A$7:$A$506,MATCH(L175,Journal!$AI$7:$AI$506,0)))</f>
        <v/>
      </c>
      <c r="O175" s="34" t="str">
        <f aca="false">IF(L175&gt;$B$6,"",INDEX(Journal!$AC$7:$AC$506,MATCH(L175,Journal!$AI$7:$AI$506,0)))</f>
        <v/>
      </c>
      <c r="P175" s="35" t="str">
        <f aca="false">IF(L175&gt;$B$6,"",INDEX(Journal!$AD$7:$AD$506,MATCH(L175,Journal!$AI$7:$AI$506,0)))</f>
        <v/>
      </c>
      <c r="Q175" s="34" t="n">
        <f aca="false">IF(L175&gt;$B$6,Q174,Q174+O175)</f>
        <v>20000</v>
      </c>
      <c r="R175" s="34" t="str">
        <f aca="false">IF(L175&gt;$B$6,"",Q175-MAX($Q$5:Q175))</f>
        <v/>
      </c>
    </row>
    <row r="176" customFormat="false" ht="15" hidden="false" customHeight="false" outlineLevel="0" collapsed="false">
      <c r="L176" s="0" t="n">
        <v>171</v>
      </c>
      <c r="M176" s="37" t="str">
        <f aca="false">IF(L176&gt;$B$6,"",INDEX(Journal!$P$7:$P$506,MATCH(L176,Journal!$AI$7:$AI$506,0)))</f>
        <v/>
      </c>
      <c r="N176" s="0" t="str">
        <f aca="false">IF(L176&gt;$B$6,"",INDEX(Journal!$A$7:$A$506,MATCH(L176,Journal!$AI$7:$AI$506,0)))</f>
        <v/>
      </c>
      <c r="O176" s="34" t="str">
        <f aca="false">IF(L176&gt;$B$6,"",INDEX(Journal!$AC$7:$AC$506,MATCH(L176,Journal!$AI$7:$AI$506,0)))</f>
        <v/>
      </c>
      <c r="P176" s="35" t="str">
        <f aca="false">IF(L176&gt;$B$6,"",INDEX(Journal!$AD$7:$AD$506,MATCH(L176,Journal!$AI$7:$AI$506,0)))</f>
        <v/>
      </c>
      <c r="Q176" s="34" t="n">
        <f aca="false">IF(L176&gt;$B$6,Q175,Q175+O176)</f>
        <v>20000</v>
      </c>
      <c r="R176" s="34" t="str">
        <f aca="false">IF(L176&gt;$B$6,"",Q176-MAX($Q$5:Q176))</f>
        <v/>
      </c>
    </row>
    <row r="177" customFormat="false" ht="15" hidden="false" customHeight="false" outlineLevel="0" collapsed="false">
      <c r="L177" s="0" t="n">
        <v>172</v>
      </c>
      <c r="M177" s="37" t="str">
        <f aca="false">IF(L177&gt;$B$6,"",INDEX(Journal!$P$7:$P$506,MATCH(L177,Journal!$AI$7:$AI$506,0)))</f>
        <v/>
      </c>
      <c r="N177" s="0" t="str">
        <f aca="false">IF(L177&gt;$B$6,"",INDEX(Journal!$A$7:$A$506,MATCH(L177,Journal!$AI$7:$AI$506,0)))</f>
        <v/>
      </c>
      <c r="O177" s="34" t="str">
        <f aca="false">IF(L177&gt;$B$6,"",INDEX(Journal!$AC$7:$AC$506,MATCH(L177,Journal!$AI$7:$AI$506,0)))</f>
        <v/>
      </c>
      <c r="P177" s="35" t="str">
        <f aca="false">IF(L177&gt;$B$6,"",INDEX(Journal!$AD$7:$AD$506,MATCH(L177,Journal!$AI$7:$AI$506,0)))</f>
        <v/>
      </c>
      <c r="Q177" s="34" t="n">
        <f aca="false">IF(L177&gt;$B$6,Q176,Q176+O177)</f>
        <v>20000</v>
      </c>
      <c r="R177" s="34" t="str">
        <f aca="false">IF(L177&gt;$B$6,"",Q177-MAX($Q$5:Q177))</f>
        <v/>
      </c>
    </row>
    <row r="178" customFormat="false" ht="15" hidden="false" customHeight="false" outlineLevel="0" collapsed="false">
      <c r="L178" s="0" t="n">
        <v>173</v>
      </c>
      <c r="M178" s="37" t="str">
        <f aca="false">IF(L178&gt;$B$6,"",INDEX(Journal!$P$7:$P$506,MATCH(L178,Journal!$AI$7:$AI$506,0)))</f>
        <v/>
      </c>
      <c r="N178" s="0" t="str">
        <f aca="false">IF(L178&gt;$B$6,"",INDEX(Journal!$A$7:$A$506,MATCH(L178,Journal!$AI$7:$AI$506,0)))</f>
        <v/>
      </c>
      <c r="O178" s="34" t="str">
        <f aca="false">IF(L178&gt;$B$6,"",INDEX(Journal!$AC$7:$AC$506,MATCH(L178,Journal!$AI$7:$AI$506,0)))</f>
        <v/>
      </c>
      <c r="P178" s="35" t="str">
        <f aca="false">IF(L178&gt;$B$6,"",INDEX(Journal!$AD$7:$AD$506,MATCH(L178,Journal!$AI$7:$AI$506,0)))</f>
        <v/>
      </c>
      <c r="Q178" s="34" t="n">
        <f aca="false">IF(L178&gt;$B$6,Q177,Q177+O178)</f>
        <v>20000</v>
      </c>
      <c r="R178" s="34" t="str">
        <f aca="false">IF(L178&gt;$B$6,"",Q178-MAX($Q$5:Q178))</f>
        <v/>
      </c>
    </row>
    <row r="179" customFormat="false" ht="15" hidden="false" customHeight="false" outlineLevel="0" collapsed="false">
      <c r="L179" s="0" t="n">
        <v>174</v>
      </c>
      <c r="M179" s="37" t="str">
        <f aca="false">IF(L179&gt;$B$6,"",INDEX(Journal!$P$7:$P$506,MATCH(L179,Journal!$AI$7:$AI$506,0)))</f>
        <v/>
      </c>
      <c r="N179" s="0" t="str">
        <f aca="false">IF(L179&gt;$B$6,"",INDEX(Journal!$A$7:$A$506,MATCH(L179,Journal!$AI$7:$AI$506,0)))</f>
        <v/>
      </c>
      <c r="O179" s="34" t="str">
        <f aca="false">IF(L179&gt;$B$6,"",INDEX(Journal!$AC$7:$AC$506,MATCH(L179,Journal!$AI$7:$AI$506,0)))</f>
        <v/>
      </c>
      <c r="P179" s="35" t="str">
        <f aca="false">IF(L179&gt;$B$6,"",INDEX(Journal!$AD$7:$AD$506,MATCH(L179,Journal!$AI$7:$AI$506,0)))</f>
        <v/>
      </c>
      <c r="Q179" s="34" t="n">
        <f aca="false">IF(L179&gt;$B$6,Q178,Q178+O179)</f>
        <v>20000</v>
      </c>
      <c r="R179" s="34" t="str">
        <f aca="false">IF(L179&gt;$B$6,"",Q179-MAX($Q$5:Q179))</f>
        <v/>
      </c>
    </row>
    <row r="180" customFormat="false" ht="15" hidden="false" customHeight="false" outlineLevel="0" collapsed="false">
      <c r="L180" s="0" t="n">
        <v>175</v>
      </c>
      <c r="M180" s="37" t="str">
        <f aca="false">IF(L180&gt;$B$6,"",INDEX(Journal!$P$7:$P$506,MATCH(L180,Journal!$AI$7:$AI$506,0)))</f>
        <v/>
      </c>
      <c r="N180" s="0" t="str">
        <f aca="false">IF(L180&gt;$B$6,"",INDEX(Journal!$A$7:$A$506,MATCH(L180,Journal!$AI$7:$AI$506,0)))</f>
        <v/>
      </c>
      <c r="O180" s="34" t="str">
        <f aca="false">IF(L180&gt;$B$6,"",INDEX(Journal!$AC$7:$AC$506,MATCH(L180,Journal!$AI$7:$AI$506,0)))</f>
        <v/>
      </c>
      <c r="P180" s="35" t="str">
        <f aca="false">IF(L180&gt;$B$6,"",INDEX(Journal!$AD$7:$AD$506,MATCH(L180,Journal!$AI$7:$AI$506,0)))</f>
        <v/>
      </c>
      <c r="Q180" s="34" t="n">
        <f aca="false">IF(L180&gt;$B$6,Q179,Q179+O180)</f>
        <v>20000</v>
      </c>
      <c r="R180" s="34" t="str">
        <f aca="false">IF(L180&gt;$B$6,"",Q180-MAX($Q$5:Q180))</f>
        <v/>
      </c>
    </row>
    <row r="181" customFormat="false" ht="15" hidden="false" customHeight="false" outlineLevel="0" collapsed="false">
      <c r="L181" s="0" t="n">
        <v>176</v>
      </c>
      <c r="M181" s="37" t="str">
        <f aca="false">IF(L181&gt;$B$6,"",INDEX(Journal!$P$7:$P$506,MATCH(L181,Journal!$AI$7:$AI$506,0)))</f>
        <v/>
      </c>
      <c r="N181" s="0" t="str">
        <f aca="false">IF(L181&gt;$B$6,"",INDEX(Journal!$A$7:$A$506,MATCH(L181,Journal!$AI$7:$AI$506,0)))</f>
        <v/>
      </c>
      <c r="O181" s="34" t="str">
        <f aca="false">IF(L181&gt;$B$6,"",INDEX(Journal!$AC$7:$AC$506,MATCH(L181,Journal!$AI$7:$AI$506,0)))</f>
        <v/>
      </c>
      <c r="P181" s="35" t="str">
        <f aca="false">IF(L181&gt;$B$6,"",INDEX(Journal!$AD$7:$AD$506,MATCH(L181,Journal!$AI$7:$AI$506,0)))</f>
        <v/>
      </c>
      <c r="Q181" s="34" t="n">
        <f aca="false">IF(L181&gt;$B$6,Q180,Q180+O181)</f>
        <v>20000</v>
      </c>
      <c r="R181" s="34" t="str">
        <f aca="false">IF(L181&gt;$B$6,"",Q181-MAX($Q$5:Q181))</f>
        <v/>
      </c>
    </row>
    <row r="182" customFormat="false" ht="15" hidden="false" customHeight="false" outlineLevel="0" collapsed="false">
      <c r="L182" s="0" t="n">
        <v>177</v>
      </c>
      <c r="M182" s="37" t="str">
        <f aca="false">IF(L182&gt;$B$6,"",INDEX(Journal!$P$7:$P$506,MATCH(L182,Journal!$AI$7:$AI$506,0)))</f>
        <v/>
      </c>
      <c r="N182" s="0" t="str">
        <f aca="false">IF(L182&gt;$B$6,"",INDEX(Journal!$A$7:$A$506,MATCH(L182,Journal!$AI$7:$AI$506,0)))</f>
        <v/>
      </c>
      <c r="O182" s="34" t="str">
        <f aca="false">IF(L182&gt;$B$6,"",INDEX(Journal!$AC$7:$AC$506,MATCH(L182,Journal!$AI$7:$AI$506,0)))</f>
        <v/>
      </c>
      <c r="P182" s="35" t="str">
        <f aca="false">IF(L182&gt;$B$6,"",INDEX(Journal!$AD$7:$AD$506,MATCH(L182,Journal!$AI$7:$AI$506,0)))</f>
        <v/>
      </c>
      <c r="Q182" s="34" t="n">
        <f aca="false">IF(L182&gt;$B$6,Q181,Q181+O182)</f>
        <v>20000</v>
      </c>
      <c r="R182" s="34" t="str">
        <f aca="false">IF(L182&gt;$B$6,"",Q182-MAX($Q$5:Q182))</f>
        <v/>
      </c>
    </row>
    <row r="183" customFormat="false" ht="15" hidden="false" customHeight="false" outlineLevel="0" collapsed="false">
      <c r="L183" s="0" t="n">
        <v>178</v>
      </c>
      <c r="M183" s="37" t="str">
        <f aca="false">IF(L183&gt;$B$6,"",INDEX(Journal!$P$7:$P$506,MATCH(L183,Journal!$AI$7:$AI$506,0)))</f>
        <v/>
      </c>
      <c r="N183" s="0" t="str">
        <f aca="false">IF(L183&gt;$B$6,"",INDEX(Journal!$A$7:$A$506,MATCH(L183,Journal!$AI$7:$AI$506,0)))</f>
        <v/>
      </c>
      <c r="O183" s="34" t="str">
        <f aca="false">IF(L183&gt;$B$6,"",INDEX(Journal!$AC$7:$AC$506,MATCH(L183,Journal!$AI$7:$AI$506,0)))</f>
        <v/>
      </c>
      <c r="P183" s="35" t="str">
        <f aca="false">IF(L183&gt;$B$6,"",INDEX(Journal!$AD$7:$AD$506,MATCH(L183,Journal!$AI$7:$AI$506,0)))</f>
        <v/>
      </c>
      <c r="Q183" s="34" t="n">
        <f aca="false">IF(L183&gt;$B$6,Q182,Q182+O183)</f>
        <v>20000</v>
      </c>
      <c r="R183" s="34" t="str">
        <f aca="false">IF(L183&gt;$B$6,"",Q183-MAX($Q$5:Q183))</f>
        <v/>
      </c>
    </row>
    <row r="184" customFormat="false" ht="15" hidden="false" customHeight="false" outlineLevel="0" collapsed="false">
      <c r="L184" s="0" t="n">
        <v>179</v>
      </c>
      <c r="M184" s="37" t="str">
        <f aca="false">IF(L184&gt;$B$6,"",INDEX(Journal!$P$7:$P$506,MATCH(L184,Journal!$AI$7:$AI$506,0)))</f>
        <v/>
      </c>
      <c r="N184" s="0" t="str">
        <f aca="false">IF(L184&gt;$B$6,"",INDEX(Journal!$A$7:$A$506,MATCH(L184,Journal!$AI$7:$AI$506,0)))</f>
        <v/>
      </c>
      <c r="O184" s="34" t="str">
        <f aca="false">IF(L184&gt;$B$6,"",INDEX(Journal!$AC$7:$AC$506,MATCH(L184,Journal!$AI$7:$AI$506,0)))</f>
        <v/>
      </c>
      <c r="P184" s="35" t="str">
        <f aca="false">IF(L184&gt;$B$6,"",INDEX(Journal!$AD$7:$AD$506,MATCH(L184,Journal!$AI$7:$AI$506,0)))</f>
        <v/>
      </c>
      <c r="Q184" s="34" t="n">
        <f aca="false">IF(L184&gt;$B$6,Q183,Q183+O184)</f>
        <v>20000</v>
      </c>
      <c r="R184" s="34" t="str">
        <f aca="false">IF(L184&gt;$B$6,"",Q184-MAX($Q$5:Q184))</f>
        <v/>
      </c>
    </row>
    <row r="185" customFormat="false" ht="15" hidden="false" customHeight="false" outlineLevel="0" collapsed="false">
      <c r="L185" s="0" t="n">
        <v>180</v>
      </c>
      <c r="M185" s="37" t="str">
        <f aca="false">IF(L185&gt;$B$6,"",INDEX(Journal!$P$7:$P$506,MATCH(L185,Journal!$AI$7:$AI$506,0)))</f>
        <v/>
      </c>
      <c r="N185" s="0" t="str">
        <f aca="false">IF(L185&gt;$B$6,"",INDEX(Journal!$A$7:$A$506,MATCH(L185,Journal!$AI$7:$AI$506,0)))</f>
        <v/>
      </c>
      <c r="O185" s="34" t="str">
        <f aca="false">IF(L185&gt;$B$6,"",INDEX(Journal!$AC$7:$AC$506,MATCH(L185,Journal!$AI$7:$AI$506,0)))</f>
        <v/>
      </c>
      <c r="P185" s="35" t="str">
        <f aca="false">IF(L185&gt;$B$6,"",INDEX(Journal!$AD$7:$AD$506,MATCH(L185,Journal!$AI$7:$AI$506,0)))</f>
        <v/>
      </c>
      <c r="Q185" s="34" t="n">
        <f aca="false">IF(L185&gt;$B$6,Q184,Q184+O185)</f>
        <v>20000</v>
      </c>
      <c r="R185" s="34" t="str">
        <f aca="false">IF(L185&gt;$B$6,"",Q185-MAX($Q$5:Q185))</f>
        <v/>
      </c>
    </row>
    <row r="186" customFormat="false" ht="15" hidden="false" customHeight="false" outlineLevel="0" collapsed="false">
      <c r="L186" s="0" t="n">
        <v>181</v>
      </c>
      <c r="M186" s="37" t="str">
        <f aca="false">IF(L186&gt;$B$6,"",INDEX(Journal!$P$7:$P$506,MATCH(L186,Journal!$AI$7:$AI$506,0)))</f>
        <v/>
      </c>
      <c r="N186" s="0" t="str">
        <f aca="false">IF(L186&gt;$B$6,"",INDEX(Journal!$A$7:$A$506,MATCH(L186,Journal!$AI$7:$AI$506,0)))</f>
        <v/>
      </c>
      <c r="O186" s="34" t="str">
        <f aca="false">IF(L186&gt;$B$6,"",INDEX(Journal!$AC$7:$AC$506,MATCH(L186,Journal!$AI$7:$AI$506,0)))</f>
        <v/>
      </c>
      <c r="P186" s="35" t="str">
        <f aca="false">IF(L186&gt;$B$6,"",INDEX(Journal!$AD$7:$AD$506,MATCH(L186,Journal!$AI$7:$AI$506,0)))</f>
        <v/>
      </c>
      <c r="Q186" s="34" t="n">
        <f aca="false">IF(L186&gt;$B$6,Q185,Q185+O186)</f>
        <v>20000</v>
      </c>
      <c r="R186" s="34" t="str">
        <f aca="false">IF(L186&gt;$B$6,"",Q186-MAX($Q$5:Q186))</f>
        <v/>
      </c>
    </row>
    <row r="187" customFormat="false" ht="15" hidden="false" customHeight="false" outlineLevel="0" collapsed="false">
      <c r="L187" s="0" t="n">
        <v>182</v>
      </c>
      <c r="M187" s="37" t="str">
        <f aca="false">IF(L187&gt;$B$6,"",INDEX(Journal!$P$7:$P$506,MATCH(L187,Journal!$AI$7:$AI$506,0)))</f>
        <v/>
      </c>
      <c r="N187" s="0" t="str">
        <f aca="false">IF(L187&gt;$B$6,"",INDEX(Journal!$A$7:$A$506,MATCH(L187,Journal!$AI$7:$AI$506,0)))</f>
        <v/>
      </c>
      <c r="O187" s="34" t="str">
        <f aca="false">IF(L187&gt;$B$6,"",INDEX(Journal!$AC$7:$AC$506,MATCH(L187,Journal!$AI$7:$AI$506,0)))</f>
        <v/>
      </c>
      <c r="P187" s="35" t="str">
        <f aca="false">IF(L187&gt;$B$6,"",INDEX(Journal!$AD$7:$AD$506,MATCH(L187,Journal!$AI$7:$AI$506,0)))</f>
        <v/>
      </c>
      <c r="Q187" s="34" t="n">
        <f aca="false">IF(L187&gt;$B$6,Q186,Q186+O187)</f>
        <v>20000</v>
      </c>
      <c r="R187" s="34" t="str">
        <f aca="false">IF(L187&gt;$B$6,"",Q187-MAX($Q$5:Q187))</f>
        <v/>
      </c>
    </row>
    <row r="188" customFormat="false" ht="15" hidden="false" customHeight="false" outlineLevel="0" collapsed="false">
      <c r="L188" s="0" t="n">
        <v>183</v>
      </c>
      <c r="M188" s="37" t="str">
        <f aca="false">IF(L188&gt;$B$6,"",INDEX(Journal!$P$7:$P$506,MATCH(L188,Journal!$AI$7:$AI$506,0)))</f>
        <v/>
      </c>
      <c r="N188" s="0" t="str">
        <f aca="false">IF(L188&gt;$B$6,"",INDEX(Journal!$A$7:$A$506,MATCH(L188,Journal!$AI$7:$AI$506,0)))</f>
        <v/>
      </c>
      <c r="O188" s="34" t="str">
        <f aca="false">IF(L188&gt;$B$6,"",INDEX(Journal!$AC$7:$AC$506,MATCH(L188,Journal!$AI$7:$AI$506,0)))</f>
        <v/>
      </c>
      <c r="P188" s="35" t="str">
        <f aca="false">IF(L188&gt;$B$6,"",INDEX(Journal!$AD$7:$AD$506,MATCH(L188,Journal!$AI$7:$AI$506,0)))</f>
        <v/>
      </c>
      <c r="Q188" s="34" t="n">
        <f aca="false">IF(L188&gt;$B$6,Q187,Q187+O188)</f>
        <v>20000</v>
      </c>
      <c r="R188" s="34" t="str">
        <f aca="false">IF(L188&gt;$B$6,"",Q188-MAX($Q$5:Q188))</f>
        <v/>
      </c>
    </row>
    <row r="189" customFormat="false" ht="15" hidden="false" customHeight="false" outlineLevel="0" collapsed="false">
      <c r="L189" s="0" t="n">
        <v>184</v>
      </c>
      <c r="M189" s="37" t="str">
        <f aca="false">IF(L189&gt;$B$6,"",INDEX(Journal!$P$7:$P$506,MATCH(L189,Journal!$AI$7:$AI$506,0)))</f>
        <v/>
      </c>
      <c r="N189" s="0" t="str">
        <f aca="false">IF(L189&gt;$B$6,"",INDEX(Journal!$A$7:$A$506,MATCH(L189,Journal!$AI$7:$AI$506,0)))</f>
        <v/>
      </c>
      <c r="O189" s="34" t="str">
        <f aca="false">IF(L189&gt;$B$6,"",INDEX(Journal!$AC$7:$AC$506,MATCH(L189,Journal!$AI$7:$AI$506,0)))</f>
        <v/>
      </c>
      <c r="P189" s="35" t="str">
        <f aca="false">IF(L189&gt;$B$6,"",INDEX(Journal!$AD$7:$AD$506,MATCH(L189,Journal!$AI$7:$AI$506,0)))</f>
        <v/>
      </c>
      <c r="Q189" s="34" t="n">
        <f aca="false">IF(L189&gt;$B$6,Q188,Q188+O189)</f>
        <v>20000</v>
      </c>
      <c r="R189" s="34" t="str">
        <f aca="false">IF(L189&gt;$B$6,"",Q189-MAX($Q$5:Q189))</f>
        <v/>
      </c>
    </row>
    <row r="190" customFormat="false" ht="15" hidden="false" customHeight="false" outlineLevel="0" collapsed="false">
      <c r="L190" s="0" t="n">
        <v>185</v>
      </c>
      <c r="M190" s="37" t="str">
        <f aca="false">IF(L190&gt;$B$6,"",INDEX(Journal!$P$7:$P$506,MATCH(L190,Journal!$AI$7:$AI$506,0)))</f>
        <v/>
      </c>
      <c r="N190" s="0" t="str">
        <f aca="false">IF(L190&gt;$B$6,"",INDEX(Journal!$A$7:$A$506,MATCH(L190,Journal!$AI$7:$AI$506,0)))</f>
        <v/>
      </c>
      <c r="O190" s="34" t="str">
        <f aca="false">IF(L190&gt;$B$6,"",INDEX(Journal!$AC$7:$AC$506,MATCH(L190,Journal!$AI$7:$AI$506,0)))</f>
        <v/>
      </c>
      <c r="P190" s="35" t="str">
        <f aca="false">IF(L190&gt;$B$6,"",INDEX(Journal!$AD$7:$AD$506,MATCH(L190,Journal!$AI$7:$AI$506,0)))</f>
        <v/>
      </c>
      <c r="Q190" s="34" t="n">
        <f aca="false">IF(L190&gt;$B$6,Q189,Q189+O190)</f>
        <v>20000</v>
      </c>
      <c r="R190" s="34" t="str">
        <f aca="false">IF(L190&gt;$B$6,"",Q190-MAX($Q$5:Q190))</f>
        <v/>
      </c>
    </row>
    <row r="191" customFormat="false" ht="15" hidden="false" customHeight="false" outlineLevel="0" collapsed="false">
      <c r="L191" s="0" t="n">
        <v>186</v>
      </c>
      <c r="M191" s="37" t="str">
        <f aca="false">IF(L191&gt;$B$6,"",INDEX(Journal!$P$7:$P$506,MATCH(L191,Journal!$AI$7:$AI$506,0)))</f>
        <v/>
      </c>
      <c r="N191" s="0" t="str">
        <f aca="false">IF(L191&gt;$B$6,"",INDEX(Journal!$A$7:$A$506,MATCH(L191,Journal!$AI$7:$AI$506,0)))</f>
        <v/>
      </c>
      <c r="O191" s="34" t="str">
        <f aca="false">IF(L191&gt;$B$6,"",INDEX(Journal!$AC$7:$AC$506,MATCH(L191,Journal!$AI$7:$AI$506,0)))</f>
        <v/>
      </c>
      <c r="P191" s="35" t="str">
        <f aca="false">IF(L191&gt;$B$6,"",INDEX(Journal!$AD$7:$AD$506,MATCH(L191,Journal!$AI$7:$AI$506,0)))</f>
        <v/>
      </c>
      <c r="Q191" s="34" t="n">
        <f aca="false">IF(L191&gt;$B$6,Q190,Q190+O191)</f>
        <v>20000</v>
      </c>
      <c r="R191" s="34" t="str">
        <f aca="false">IF(L191&gt;$B$6,"",Q191-MAX($Q$5:Q191))</f>
        <v/>
      </c>
    </row>
    <row r="192" customFormat="false" ht="15" hidden="false" customHeight="false" outlineLevel="0" collapsed="false">
      <c r="L192" s="0" t="n">
        <v>187</v>
      </c>
      <c r="M192" s="37" t="str">
        <f aca="false">IF(L192&gt;$B$6,"",INDEX(Journal!$P$7:$P$506,MATCH(L192,Journal!$AI$7:$AI$506,0)))</f>
        <v/>
      </c>
      <c r="N192" s="0" t="str">
        <f aca="false">IF(L192&gt;$B$6,"",INDEX(Journal!$A$7:$A$506,MATCH(L192,Journal!$AI$7:$AI$506,0)))</f>
        <v/>
      </c>
      <c r="O192" s="34" t="str">
        <f aca="false">IF(L192&gt;$B$6,"",INDEX(Journal!$AC$7:$AC$506,MATCH(L192,Journal!$AI$7:$AI$506,0)))</f>
        <v/>
      </c>
      <c r="P192" s="35" t="str">
        <f aca="false">IF(L192&gt;$B$6,"",INDEX(Journal!$AD$7:$AD$506,MATCH(L192,Journal!$AI$7:$AI$506,0)))</f>
        <v/>
      </c>
      <c r="Q192" s="34" t="n">
        <f aca="false">IF(L192&gt;$B$6,Q191,Q191+O192)</f>
        <v>20000</v>
      </c>
      <c r="R192" s="34" t="str">
        <f aca="false">IF(L192&gt;$B$6,"",Q192-MAX($Q$5:Q192))</f>
        <v/>
      </c>
    </row>
    <row r="193" customFormat="false" ht="15" hidden="false" customHeight="false" outlineLevel="0" collapsed="false">
      <c r="L193" s="0" t="n">
        <v>188</v>
      </c>
      <c r="M193" s="37" t="str">
        <f aca="false">IF(L193&gt;$B$6,"",INDEX(Journal!$P$7:$P$506,MATCH(L193,Journal!$AI$7:$AI$506,0)))</f>
        <v/>
      </c>
      <c r="N193" s="0" t="str">
        <f aca="false">IF(L193&gt;$B$6,"",INDEX(Journal!$A$7:$A$506,MATCH(L193,Journal!$AI$7:$AI$506,0)))</f>
        <v/>
      </c>
      <c r="O193" s="34" t="str">
        <f aca="false">IF(L193&gt;$B$6,"",INDEX(Journal!$AC$7:$AC$506,MATCH(L193,Journal!$AI$7:$AI$506,0)))</f>
        <v/>
      </c>
      <c r="P193" s="35" t="str">
        <f aca="false">IF(L193&gt;$B$6,"",INDEX(Journal!$AD$7:$AD$506,MATCH(L193,Journal!$AI$7:$AI$506,0)))</f>
        <v/>
      </c>
      <c r="Q193" s="34" t="n">
        <f aca="false">IF(L193&gt;$B$6,Q192,Q192+O193)</f>
        <v>20000</v>
      </c>
      <c r="R193" s="34" t="str">
        <f aca="false">IF(L193&gt;$B$6,"",Q193-MAX($Q$5:Q193))</f>
        <v/>
      </c>
    </row>
    <row r="194" customFormat="false" ht="15" hidden="false" customHeight="false" outlineLevel="0" collapsed="false">
      <c r="L194" s="0" t="n">
        <v>189</v>
      </c>
      <c r="M194" s="37" t="str">
        <f aca="false">IF(L194&gt;$B$6,"",INDEX(Journal!$P$7:$P$506,MATCH(L194,Journal!$AI$7:$AI$506,0)))</f>
        <v/>
      </c>
      <c r="N194" s="0" t="str">
        <f aca="false">IF(L194&gt;$B$6,"",INDEX(Journal!$A$7:$A$506,MATCH(L194,Journal!$AI$7:$AI$506,0)))</f>
        <v/>
      </c>
      <c r="O194" s="34" t="str">
        <f aca="false">IF(L194&gt;$B$6,"",INDEX(Journal!$AC$7:$AC$506,MATCH(L194,Journal!$AI$7:$AI$506,0)))</f>
        <v/>
      </c>
      <c r="P194" s="35" t="str">
        <f aca="false">IF(L194&gt;$B$6,"",INDEX(Journal!$AD$7:$AD$506,MATCH(L194,Journal!$AI$7:$AI$506,0)))</f>
        <v/>
      </c>
      <c r="Q194" s="34" t="n">
        <f aca="false">IF(L194&gt;$B$6,Q193,Q193+O194)</f>
        <v>20000</v>
      </c>
      <c r="R194" s="34" t="str">
        <f aca="false">IF(L194&gt;$B$6,"",Q194-MAX($Q$5:Q194))</f>
        <v/>
      </c>
    </row>
    <row r="195" customFormat="false" ht="15" hidden="false" customHeight="false" outlineLevel="0" collapsed="false">
      <c r="L195" s="0" t="n">
        <v>190</v>
      </c>
      <c r="M195" s="37" t="str">
        <f aca="false">IF(L195&gt;$B$6,"",INDEX(Journal!$P$7:$P$506,MATCH(L195,Journal!$AI$7:$AI$506,0)))</f>
        <v/>
      </c>
      <c r="N195" s="0" t="str">
        <f aca="false">IF(L195&gt;$B$6,"",INDEX(Journal!$A$7:$A$506,MATCH(L195,Journal!$AI$7:$AI$506,0)))</f>
        <v/>
      </c>
      <c r="O195" s="34" t="str">
        <f aca="false">IF(L195&gt;$B$6,"",INDEX(Journal!$AC$7:$AC$506,MATCH(L195,Journal!$AI$7:$AI$506,0)))</f>
        <v/>
      </c>
      <c r="P195" s="35" t="str">
        <f aca="false">IF(L195&gt;$B$6,"",INDEX(Journal!$AD$7:$AD$506,MATCH(L195,Journal!$AI$7:$AI$506,0)))</f>
        <v/>
      </c>
      <c r="Q195" s="34" t="n">
        <f aca="false">IF(L195&gt;$B$6,Q194,Q194+O195)</f>
        <v>20000</v>
      </c>
      <c r="R195" s="34" t="str">
        <f aca="false">IF(L195&gt;$B$6,"",Q195-MAX($Q$5:Q195))</f>
        <v/>
      </c>
    </row>
    <row r="196" customFormat="false" ht="15" hidden="false" customHeight="false" outlineLevel="0" collapsed="false">
      <c r="L196" s="0" t="n">
        <v>191</v>
      </c>
      <c r="M196" s="37" t="str">
        <f aca="false">IF(L196&gt;$B$6,"",INDEX(Journal!$P$7:$P$506,MATCH(L196,Journal!$AI$7:$AI$506,0)))</f>
        <v/>
      </c>
      <c r="N196" s="0" t="str">
        <f aca="false">IF(L196&gt;$B$6,"",INDEX(Journal!$A$7:$A$506,MATCH(L196,Journal!$AI$7:$AI$506,0)))</f>
        <v/>
      </c>
      <c r="O196" s="34" t="str">
        <f aca="false">IF(L196&gt;$B$6,"",INDEX(Journal!$AC$7:$AC$506,MATCH(L196,Journal!$AI$7:$AI$506,0)))</f>
        <v/>
      </c>
      <c r="P196" s="35" t="str">
        <f aca="false">IF(L196&gt;$B$6,"",INDEX(Journal!$AD$7:$AD$506,MATCH(L196,Journal!$AI$7:$AI$506,0)))</f>
        <v/>
      </c>
      <c r="Q196" s="34" t="n">
        <f aca="false">IF(L196&gt;$B$6,Q195,Q195+O196)</f>
        <v>20000</v>
      </c>
      <c r="R196" s="34" t="str">
        <f aca="false">IF(L196&gt;$B$6,"",Q196-MAX($Q$5:Q196))</f>
        <v/>
      </c>
    </row>
    <row r="197" customFormat="false" ht="15" hidden="false" customHeight="false" outlineLevel="0" collapsed="false">
      <c r="L197" s="0" t="n">
        <v>192</v>
      </c>
      <c r="M197" s="37" t="str">
        <f aca="false">IF(L197&gt;$B$6,"",INDEX(Journal!$P$7:$P$506,MATCH(L197,Journal!$AI$7:$AI$506,0)))</f>
        <v/>
      </c>
      <c r="N197" s="0" t="str">
        <f aca="false">IF(L197&gt;$B$6,"",INDEX(Journal!$A$7:$A$506,MATCH(L197,Journal!$AI$7:$AI$506,0)))</f>
        <v/>
      </c>
      <c r="O197" s="34" t="str">
        <f aca="false">IF(L197&gt;$B$6,"",INDEX(Journal!$AC$7:$AC$506,MATCH(L197,Journal!$AI$7:$AI$506,0)))</f>
        <v/>
      </c>
      <c r="P197" s="35" t="str">
        <f aca="false">IF(L197&gt;$B$6,"",INDEX(Journal!$AD$7:$AD$506,MATCH(L197,Journal!$AI$7:$AI$506,0)))</f>
        <v/>
      </c>
      <c r="Q197" s="34" t="n">
        <f aca="false">IF(L197&gt;$B$6,Q196,Q196+O197)</f>
        <v>20000</v>
      </c>
      <c r="R197" s="34" t="str">
        <f aca="false">IF(L197&gt;$B$6,"",Q197-MAX($Q$5:Q197))</f>
        <v/>
      </c>
    </row>
    <row r="198" customFormat="false" ht="15" hidden="false" customHeight="false" outlineLevel="0" collapsed="false">
      <c r="L198" s="0" t="n">
        <v>193</v>
      </c>
      <c r="M198" s="37" t="str">
        <f aca="false">IF(L198&gt;$B$6,"",INDEX(Journal!$P$7:$P$506,MATCH(L198,Journal!$AI$7:$AI$506,0)))</f>
        <v/>
      </c>
      <c r="N198" s="0" t="str">
        <f aca="false">IF(L198&gt;$B$6,"",INDEX(Journal!$A$7:$A$506,MATCH(L198,Journal!$AI$7:$AI$506,0)))</f>
        <v/>
      </c>
      <c r="O198" s="34" t="str">
        <f aca="false">IF(L198&gt;$B$6,"",INDEX(Journal!$AC$7:$AC$506,MATCH(L198,Journal!$AI$7:$AI$506,0)))</f>
        <v/>
      </c>
      <c r="P198" s="35" t="str">
        <f aca="false">IF(L198&gt;$B$6,"",INDEX(Journal!$AD$7:$AD$506,MATCH(L198,Journal!$AI$7:$AI$506,0)))</f>
        <v/>
      </c>
      <c r="Q198" s="34" t="n">
        <f aca="false">IF(L198&gt;$B$6,Q197,Q197+O198)</f>
        <v>20000</v>
      </c>
      <c r="R198" s="34" t="str">
        <f aca="false">IF(L198&gt;$B$6,"",Q198-MAX($Q$5:Q198))</f>
        <v/>
      </c>
    </row>
    <row r="199" customFormat="false" ht="15" hidden="false" customHeight="false" outlineLevel="0" collapsed="false">
      <c r="L199" s="0" t="n">
        <v>194</v>
      </c>
      <c r="M199" s="37" t="str">
        <f aca="false">IF(L199&gt;$B$6,"",INDEX(Journal!$P$7:$P$506,MATCH(L199,Journal!$AI$7:$AI$506,0)))</f>
        <v/>
      </c>
      <c r="N199" s="0" t="str">
        <f aca="false">IF(L199&gt;$B$6,"",INDEX(Journal!$A$7:$A$506,MATCH(L199,Journal!$AI$7:$AI$506,0)))</f>
        <v/>
      </c>
      <c r="O199" s="34" t="str">
        <f aca="false">IF(L199&gt;$B$6,"",INDEX(Journal!$AC$7:$AC$506,MATCH(L199,Journal!$AI$7:$AI$506,0)))</f>
        <v/>
      </c>
      <c r="P199" s="35" t="str">
        <f aca="false">IF(L199&gt;$B$6,"",INDEX(Journal!$AD$7:$AD$506,MATCH(L199,Journal!$AI$7:$AI$506,0)))</f>
        <v/>
      </c>
      <c r="Q199" s="34" t="n">
        <f aca="false">IF(L199&gt;$B$6,Q198,Q198+O199)</f>
        <v>20000</v>
      </c>
      <c r="R199" s="34" t="str">
        <f aca="false">IF(L199&gt;$B$6,"",Q199-MAX($Q$5:Q199))</f>
        <v/>
      </c>
    </row>
    <row r="200" customFormat="false" ht="15" hidden="false" customHeight="false" outlineLevel="0" collapsed="false">
      <c r="L200" s="0" t="n">
        <v>195</v>
      </c>
      <c r="M200" s="37" t="str">
        <f aca="false">IF(L200&gt;$B$6,"",INDEX(Journal!$P$7:$P$506,MATCH(L200,Journal!$AI$7:$AI$506,0)))</f>
        <v/>
      </c>
      <c r="N200" s="0" t="str">
        <f aca="false">IF(L200&gt;$B$6,"",INDEX(Journal!$A$7:$A$506,MATCH(L200,Journal!$AI$7:$AI$506,0)))</f>
        <v/>
      </c>
      <c r="O200" s="34" t="str">
        <f aca="false">IF(L200&gt;$B$6,"",INDEX(Journal!$AC$7:$AC$506,MATCH(L200,Journal!$AI$7:$AI$506,0)))</f>
        <v/>
      </c>
      <c r="P200" s="35" t="str">
        <f aca="false">IF(L200&gt;$B$6,"",INDEX(Journal!$AD$7:$AD$506,MATCH(L200,Journal!$AI$7:$AI$506,0)))</f>
        <v/>
      </c>
      <c r="Q200" s="34" t="n">
        <f aca="false">IF(L200&gt;$B$6,Q199,Q199+O200)</f>
        <v>20000</v>
      </c>
      <c r="R200" s="34" t="str">
        <f aca="false">IF(L200&gt;$B$6,"",Q200-MAX($Q$5:Q200))</f>
        <v/>
      </c>
    </row>
    <row r="201" customFormat="false" ht="15" hidden="false" customHeight="false" outlineLevel="0" collapsed="false">
      <c r="L201" s="0" t="n">
        <v>196</v>
      </c>
      <c r="M201" s="37" t="str">
        <f aca="false">IF(L201&gt;$B$6,"",INDEX(Journal!$P$7:$P$506,MATCH(L201,Journal!$AI$7:$AI$506,0)))</f>
        <v/>
      </c>
      <c r="N201" s="0" t="str">
        <f aca="false">IF(L201&gt;$B$6,"",INDEX(Journal!$A$7:$A$506,MATCH(L201,Journal!$AI$7:$AI$506,0)))</f>
        <v/>
      </c>
      <c r="O201" s="34" t="str">
        <f aca="false">IF(L201&gt;$B$6,"",INDEX(Journal!$AC$7:$AC$506,MATCH(L201,Journal!$AI$7:$AI$506,0)))</f>
        <v/>
      </c>
      <c r="P201" s="35" t="str">
        <f aca="false">IF(L201&gt;$B$6,"",INDEX(Journal!$AD$7:$AD$506,MATCH(L201,Journal!$AI$7:$AI$506,0)))</f>
        <v/>
      </c>
      <c r="Q201" s="34" t="n">
        <f aca="false">IF(L201&gt;$B$6,Q200,Q200+O201)</f>
        <v>20000</v>
      </c>
      <c r="R201" s="34" t="str">
        <f aca="false">IF(L201&gt;$B$6,"",Q201-MAX($Q$5:Q201))</f>
        <v/>
      </c>
    </row>
    <row r="202" customFormat="false" ht="15" hidden="false" customHeight="false" outlineLevel="0" collapsed="false">
      <c r="L202" s="0" t="n">
        <v>197</v>
      </c>
      <c r="M202" s="37" t="str">
        <f aca="false">IF(L202&gt;$B$6,"",INDEX(Journal!$P$7:$P$506,MATCH(L202,Journal!$AI$7:$AI$506,0)))</f>
        <v/>
      </c>
      <c r="N202" s="0" t="str">
        <f aca="false">IF(L202&gt;$B$6,"",INDEX(Journal!$A$7:$A$506,MATCH(L202,Journal!$AI$7:$AI$506,0)))</f>
        <v/>
      </c>
      <c r="O202" s="34" t="str">
        <f aca="false">IF(L202&gt;$B$6,"",INDEX(Journal!$AC$7:$AC$506,MATCH(L202,Journal!$AI$7:$AI$506,0)))</f>
        <v/>
      </c>
      <c r="P202" s="35" t="str">
        <f aca="false">IF(L202&gt;$B$6,"",INDEX(Journal!$AD$7:$AD$506,MATCH(L202,Journal!$AI$7:$AI$506,0)))</f>
        <v/>
      </c>
      <c r="Q202" s="34" t="n">
        <f aca="false">IF(L202&gt;$B$6,Q201,Q201+O202)</f>
        <v>20000</v>
      </c>
      <c r="R202" s="34" t="str">
        <f aca="false">IF(L202&gt;$B$6,"",Q202-MAX($Q$5:Q202))</f>
        <v/>
      </c>
    </row>
    <row r="203" customFormat="false" ht="15" hidden="false" customHeight="false" outlineLevel="0" collapsed="false">
      <c r="L203" s="0" t="n">
        <v>198</v>
      </c>
      <c r="M203" s="37" t="str">
        <f aca="false">IF(L203&gt;$B$6,"",INDEX(Journal!$P$7:$P$506,MATCH(L203,Journal!$AI$7:$AI$506,0)))</f>
        <v/>
      </c>
      <c r="N203" s="0" t="str">
        <f aca="false">IF(L203&gt;$B$6,"",INDEX(Journal!$A$7:$A$506,MATCH(L203,Journal!$AI$7:$AI$506,0)))</f>
        <v/>
      </c>
      <c r="O203" s="34" t="str">
        <f aca="false">IF(L203&gt;$B$6,"",INDEX(Journal!$AC$7:$AC$506,MATCH(L203,Journal!$AI$7:$AI$506,0)))</f>
        <v/>
      </c>
      <c r="P203" s="35" t="str">
        <f aca="false">IF(L203&gt;$B$6,"",INDEX(Journal!$AD$7:$AD$506,MATCH(L203,Journal!$AI$7:$AI$506,0)))</f>
        <v/>
      </c>
      <c r="Q203" s="34" t="n">
        <f aca="false">IF(L203&gt;$B$6,Q202,Q202+O203)</f>
        <v>20000</v>
      </c>
      <c r="R203" s="34" t="str">
        <f aca="false">IF(L203&gt;$B$6,"",Q203-MAX($Q$5:Q203))</f>
        <v/>
      </c>
    </row>
    <row r="204" customFormat="false" ht="15" hidden="false" customHeight="false" outlineLevel="0" collapsed="false">
      <c r="L204" s="0" t="n">
        <v>199</v>
      </c>
      <c r="M204" s="37" t="str">
        <f aca="false">IF(L204&gt;$B$6,"",INDEX(Journal!$P$7:$P$506,MATCH(L204,Journal!$AI$7:$AI$506,0)))</f>
        <v/>
      </c>
      <c r="N204" s="0" t="str">
        <f aca="false">IF(L204&gt;$B$6,"",INDEX(Journal!$A$7:$A$506,MATCH(L204,Journal!$AI$7:$AI$506,0)))</f>
        <v/>
      </c>
      <c r="O204" s="34" t="str">
        <f aca="false">IF(L204&gt;$B$6,"",INDEX(Journal!$AC$7:$AC$506,MATCH(L204,Journal!$AI$7:$AI$506,0)))</f>
        <v/>
      </c>
      <c r="P204" s="35" t="str">
        <f aca="false">IF(L204&gt;$B$6,"",INDEX(Journal!$AD$7:$AD$506,MATCH(L204,Journal!$AI$7:$AI$506,0)))</f>
        <v/>
      </c>
      <c r="Q204" s="34" t="n">
        <f aca="false">IF(L204&gt;$B$6,Q203,Q203+O204)</f>
        <v>20000</v>
      </c>
      <c r="R204" s="34" t="str">
        <f aca="false">IF(L204&gt;$B$6,"",Q204-MAX($Q$5:Q204))</f>
        <v/>
      </c>
    </row>
    <row r="205" customFormat="false" ht="15" hidden="false" customHeight="false" outlineLevel="0" collapsed="false">
      <c r="L205" s="0" t="n">
        <v>200</v>
      </c>
      <c r="M205" s="37" t="str">
        <f aca="false">IF(L205&gt;$B$6,"",INDEX(Journal!$P$7:$P$506,MATCH(L205,Journal!$AI$7:$AI$506,0)))</f>
        <v/>
      </c>
      <c r="N205" s="0" t="str">
        <f aca="false">IF(L205&gt;$B$6,"",INDEX(Journal!$A$7:$A$506,MATCH(L205,Journal!$AI$7:$AI$506,0)))</f>
        <v/>
      </c>
      <c r="O205" s="34" t="str">
        <f aca="false">IF(L205&gt;$B$6,"",INDEX(Journal!$AC$7:$AC$506,MATCH(L205,Journal!$AI$7:$AI$506,0)))</f>
        <v/>
      </c>
      <c r="P205" s="35" t="str">
        <f aca="false">IF(L205&gt;$B$6,"",INDEX(Journal!$AD$7:$AD$506,MATCH(L205,Journal!$AI$7:$AI$506,0)))</f>
        <v/>
      </c>
      <c r="Q205" s="34" t="n">
        <f aca="false">IF(L205&gt;$B$6,Q204,Q204+O205)</f>
        <v>20000</v>
      </c>
      <c r="R205" s="34" t="str">
        <f aca="false">IF(L205&gt;$B$6,"",Q205-MAX($Q$5:Q205))</f>
        <v/>
      </c>
    </row>
    <row r="206" customFormat="false" ht="15" hidden="false" customHeight="false" outlineLevel="0" collapsed="false">
      <c r="L206" s="0" t="n">
        <v>201</v>
      </c>
      <c r="M206" s="37" t="str">
        <f aca="false">IF(L206&gt;$B$6,"",INDEX(Journal!$P$7:$P$506,MATCH(L206,Journal!$AI$7:$AI$506,0)))</f>
        <v/>
      </c>
      <c r="N206" s="0" t="str">
        <f aca="false">IF(L206&gt;$B$6,"",INDEX(Journal!$A$7:$A$506,MATCH(L206,Journal!$AI$7:$AI$506,0)))</f>
        <v/>
      </c>
      <c r="O206" s="34" t="str">
        <f aca="false">IF(L206&gt;$B$6,"",INDEX(Journal!$AC$7:$AC$506,MATCH(L206,Journal!$AI$7:$AI$506,0)))</f>
        <v/>
      </c>
      <c r="P206" s="35" t="str">
        <f aca="false">IF(L206&gt;$B$6,"",INDEX(Journal!$AD$7:$AD$506,MATCH(L206,Journal!$AI$7:$AI$506,0)))</f>
        <v/>
      </c>
      <c r="Q206" s="34" t="n">
        <f aca="false">IF(L206&gt;$B$6,Q205,Q205+O206)</f>
        <v>20000</v>
      </c>
      <c r="R206" s="34" t="str">
        <f aca="false">IF(L206&gt;$B$6,"",Q206-MAX($Q$5:Q206))</f>
        <v/>
      </c>
    </row>
    <row r="207" customFormat="false" ht="15" hidden="false" customHeight="false" outlineLevel="0" collapsed="false">
      <c r="L207" s="0" t="n">
        <v>202</v>
      </c>
      <c r="M207" s="37" t="str">
        <f aca="false">IF(L207&gt;$B$6,"",INDEX(Journal!$P$7:$P$506,MATCH(L207,Journal!$AI$7:$AI$506,0)))</f>
        <v/>
      </c>
      <c r="N207" s="0" t="str">
        <f aca="false">IF(L207&gt;$B$6,"",INDEX(Journal!$A$7:$A$506,MATCH(L207,Journal!$AI$7:$AI$506,0)))</f>
        <v/>
      </c>
      <c r="O207" s="34" t="str">
        <f aca="false">IF(L207&gt;$B$6,"",INDEX(Journal!$AC$7:$AC$506,MATCH(L207,Journal!$AI$7:$AI$506,0)))</f>
        <v/>
      </c>
      <c r="P207" s="35" t="str">
        <f aca="false">IF(L207&gt;$B$6,"",INDEX(Journal!$AD$7:$AD$506,MATCH(L207,Journal!$AI$7:$AI$506,0)))</f>
        <v/>
      </c>
      <c r="Q207" s="34" t="n">
        <f aca="false">IF(L207&gt;$B$6,Q206,Q206+O207)</f>
        <v>20000</v>
      </c>
      <c r="R207" s="34" t="str">
        <f aca="false">IF(L207&gt;$B$6,"",Q207-MAX($Q$5:Q207))</f>
        <v/>
      </c>
    </row>
    <row r="208" customFormat="false" ht="15" hidden="false" customHeight="false" outlineLevel="0" collapsed="false">
      <c r="L208" s="0" t="n">
        <v>203</v>
      </c>
      <c r="M208" s="37" t="str">
        <f aca="false">IF(L208&gt;$B$6,"",INDEX(Journal!$P$7:$P$506,MATCH(L208,Journal!$AI$7:$AI$506,0)))</f>
        <v/>
      </c>
      <c r="N208" s="0" t="str">
        <f aca="false">IF(L208&gt;$B$6,"",INDEX(Journal!$A$7:$A$506,MATCH(L208,Journal!$AI$7:$AI$506,0)))</f>
        <v/>
      </c>
      <c r="O208" s="34" t="str">
        <f aca="false">IF(L208&gt;$B$6,"",INDEX(Journal!$AC$7:$AC$506,MATCH(L208,Journal!$AI$7:$AI$506,0)))</f>
        <v/>
      </c>
      <c r="P208" s="35" t="str">
        <f aca="false">IF(L208&gt;$B$6,"",INDEX(Journal!$AD$7:$AD$506,MATCH(L208,Journal!$AI$7:$AI$506,0)))</f>
        <v/>
      </c>
      <c r="Q208" s="34" t="n">
        <f aca="false">IF(L208&gt;$B$6,Q207,Q207+O208)</f>
        <v>20000</v>
      </c>
      <c r="R208" s="34" t="str">
        <f aca="false">IF(L208&gt;$B$6,"",Q208-MAX($Q$5:Q208))</f>
        <v/>
      </c>
    </row>
    <row r="209" customFormat="false" ht="15" hidden="false" customHeight="false" outlineLevel="0" collapsed="false">
      <c r="L209" s="0" t="n">
        <v>204</v>
      </c>
      <c r="M209" s="37" t="str">
        <f aca="false">IF(L209&gt;$B$6,"",INDEX(Journal!$P$7:$P$506,MATCH(L209,Journal!$AI$7:$AI$506,0)))</f>
        <v/>
      </c>
      <c r="N209" s="0" t="str">
        <f aca="false">IF(L209&gt;$B$6,"",INDEX(Journal!$A$7:$A$506,MATCH(L209,Journal!$AI$7:$AI$506,0)))</f>
        <v/>
      </c>
      <c r="O209" s="34" t="str">
        <f aca="false">IF(L209&gt;$B$6,"",INDEX(Journal!$AC$7:$AC$506,MATCH(L209,Journal!$AI$7:$AI$506,0)))</f>
        <v/>
      </c>
      <c r="P209" s="35" t="str">
        <f aca="false">IF(L209&gt;$B$6,"",INDEX(Journal!$AD$7:$AD$506,MATCH(L209,Journal!$AI$7:$AI$506,0)))</f>
        <v/>
      </c>
      <c r="Q209" s="34" t="n">
        <f aca="false">IF(L209&gt;$B$6,Q208,Q208+O209)</f>
        <v>20000</v>
      </c>
      <c r="R209" s="34" t="str">
        <f aca="false">IF(L209&gt;$B$6,"",Q209-MAX($Q$5:Q209))</f>
        <v/>
      </c>
    </row>
    <row r="210" customFormat="false" ht="15" hidden="false" customHeight="false" outlineLevel="0" collapsed="false">
      <c r="L210" s="0" t="n">
        <v>205</v>
      </c>
      <c r="M210" s="37" t="str">
        <f aca="false">IF(L210&gt;$B$6,"",INDEX(Journal!$P$7:$P$506,MATCH(L210,Journal!$AI$7:$AI$506,0)))</f>
        <v/>
      </c>
      <c r="N210" s="0" t="str">
        <f aca="false">IF(L210&gt;$B$6,"",INDEX(Journal!$A$7:$A$506,MATCH(L210,Journal!$AI$7:$AI$506,0)))</f>
        <v/>
      </c>
      <c r="O210" s="34" t="str">
        <f aca="false">IF(L210&gt;$B$6,"",INDEX(Journal!$AC$7:$AC$506,MATCH(L210,Journal!$AI$7:$AI$506,0)))</f>
        <v/>
      </c>
      <c r="P210" s="35" t="str">
        <f aca="false">IF(L210&gt;$B$6,"",INDEX(Journal!$AD$7:$AD$506,MATCH(L210,Journal!$AI$7:$AI$506,0)))</f>
        <v/>
      </c>
      <c r="Q210" s="34" t="n">
        <f aca="false">IF(L210&gt;$B$6,Q209,Q209+O210)</f>
        <v>20000</v>
      </c>
      <c r="R210" s="34" t="str">
        <f aca="false">IF(L210&gt;$B$6,"",Q210-MAX($Q$5:Q210))</f>
        <v/>
      </c>
    </row>
    <row r="211" customFormat="false" ht="15" hidden="false" customHeight="false" outlineLevel="0" collapsed="false">
      <c r="L211" s="0" t="n">
        <v>206</v>
      </c>
      <c r="M211" s="37" t="str">
        <f aca="false">IF(L211&gt;$B$6,"",INDEX(Journal!$P$7:$P$506,MATCH(L211,Journal!$AI$7:$AI$506,0)))</f>
        <v/>
      </c>
      <c r="N211" s="0" t="str">
        <f aca="false">IF(L211&gt;$B$6,"",INDEX(Journal!$A$7:$A$506,MATCH(L211,Journal!$AI$7:$AI$506,0)))</f>
        <v/>
      </c>
      <c r="O211" s="34" t="str">
        <f aca="false">IF(L211&gt;$B$6,"",INDEX(Journal!$AC$7:$AC$506,MATCH(L211,Journal!$AI$7:$AI$506,0)))</f>
        <v/>
      </c>
      <c r="P211" s="35" t="str">
        <f aca="false">IF(L211&gt;$B$6,"",INDEX(Journal!$AD$7:$AD$506,MATCH(L211,Journal!$AI$7:$AI$506,0)))</f>
        <v/>
      </c>
      <c r="Q211" s="34" t="n">
        <f aca="false">IF(L211&gt;$B$6,Q210,Q210+O211)</f>
        <v>20000</v>
      </c>
      <c r="R211" s="34" t="str">
        <f aca="false">IF(L211&gt;$B$6,"",Q211-MAX($Q$5:Q211))</f>
        <v/>
      </c>
    </row>
    <row r="212" customFormat="false" ht="15" hidden="false" customHeight="false" outlineLevel="0" collapsed="false">
      <c r="L212" s="0" t="n">
        <v>207</v>
      </c>
      <c r="M212" s="37" t="str">
        <f aca="false">IF(L212&gt;$B$6,"",INDEX(Journal!$P$7:$P$506,MATCH(L212,Journal!$AI$7:$AI$506,0)))</f>
        <v/>
      </c>
      <c r="N212" s="0" t="str">
        <f aca="false">IF(L212&gt;$B$6,"",INDEX(Journal!$A$7:$A$506,MATCH(L212,Journal!$AI$7:$AI$506,0)))</f>
        <v/>
      </c>
      <c r="O212" s="34" t="str">
        <f aca="false">IF(L212&gt;$B$6,"",INDEX(Journal!$AC$7:$AC$506,MATCH(L212,Journal!$AI$7:$AI$506,0)))</f>
        <v/>
      </c>
      <c r="P212" s="35" t="str">
        <f aca="false">IF(L212&gt;$B$6,"",INDEX(Journal!$AD$7:$AD$506,MATCH(L212,Journal!$AI$7:$AI$506,0)))</f>
        <v/>
      </c>
      <c r="Q212" s="34" t="n">
        <f aca="false">IF(L212&gt;$B$6,Q211,Q211+O212)</f>
        <v>20000</v>
      </c>
      <c r="R212" s="34" t="str">
        <f aca="false">IF(L212&gt;$B$6,"",Q212-MAX($Q$5:Q212))</f>
        <v/>
      </c>
    </row>
    <row r="213" customFormat="false" ht="15" hidden="false" customHeight="false" outlineLevel="0" collapsed="false">
      <c r="L213" s="0" t="n">
        <v>208</v>
      </c>
      <c r="M213" s="37" t="str">
        <f aca="false">IF(L213&gt;$B$6,"",INDEX(Journal!$P$7:$P$506,MATCH(L213,Journal!$AI$7:$AI$506,0)))</f>
        <v/>
      </c>
      <c r="N213" s="0" t="str">
        <f aca="false">IF(L213&gt;$B$6,"",INDEX(Journal!$A$7:$A$506,MATCH(L213,Journal!$AI$7:$AI$506,0)))</f>
        <v/>
      </c>
      <c r="O213" s="34" t="str">
        <f aca="false">IF(L213&gt;$B$6,"",INDEX(Journal!$AC$7:$AC$506,MATCH(L213,Journal!$AI$7:$AI$506,0)))</f>
        <v/>
      </c>
      <c r="P213" s="35" t="str">
        <f aca="false">IF(L213&gt;$B$6,"",INDEX(Journal!$AD$7:$AD$506,MATCH(L213,Journal!$AI$7:$AI$506,0)))</f>
        <v/>
      </c>
      <c r="Q213" s="34" t="n">
        <f aca="false">IF(L213&gt;$B$6,Q212,Q212+O213)</f>
        <v>20000</v>
      </c>
      <c r="R213" s="34" t="str">
        <f aca="false">IF(L213&gt;$B$6,"",Q213-MAX($Q$5:Q213))</f>
        <v/>
      </c>
    </row>
    <row r="214" customFormat="false" ht="15" hidden="false" customHeight="false" outlineLevel="0" collapsed="false">
      <c r="L214" s="0" t="n">
        <v>209</v>
      </c>
      <c r="M214" s="37" t="str">
        <f aca="false">IF(L214&gt;$B$6,"",INDEX(Journal!$P$7:$P$506,MATCH(L214,Journal!$AI$7:$AI$506,0)))</f>
        <v/>
      </c>
      <c r="N214" s="0" t="str">
        <f aca="false">IF(L214&gt;$B$6,"",INDEX(Journal!$A$7:$A$506,MATCH(L214,Journal!$AI$7:$AI$506,0)))</f>
        <v/>
      </c>
      <c r="O214" s="34" t="str">
        <f aca="false">IF(L214&gt;$B$6,"",INDEX(Journal!$AC$7:$AC$506,MATCH(L214,Journal!$AI$7:$AI$506,0)))</f>
        <v/>
      </c>
      <c r="P214" s="35" t="str">
        <f aca="false">IF(L214&gt;$B$6,"",INDEX(Journal!$AD$7:$AD$506,MATCH(L214,Journal!$AI$7:$AI$506,0)))</f>
        <v/>
      </c>
      <c r="Q214" s="34" t="n">
        <f aca="false">IF(L214&gt;$B$6,Q213,Q213+O214)</f>
        <v>20000</v>
      </c>
      <c r="R214" s="34" t="str">
        <f aca="false">IF(L214&gt;$B$6,"",Q214-MAX($Q$5:Q214))</f>
        <v/>
      </c>
    </row>
    <row r="215" customFormat="false" ht="15" hidden="false" customHeight="false" outlineLevel="0" collapsed="false">
      <c r="L215" s="0" t="n">
        <v>210</v>
      </c>
      <c r="M215" s="37" t="str">
        <f aca="false">IF(L215&gt;$B$6,"",INDEX(Journal!$P$7:$P$506,MATCH(L215,Journal!$AI$7:$AI$506,0)))</f>
        <v/>
      </c>
      <c r="N215" s="0" t="str">
        <f aca="false">IF(L215&gt;$B$6,"",INDEX(Journal!$A$7:$A$506,MATCH(L215,Journal!$AI$7:$AI$506,0)))</f>
        <v/>
      </c>
      <c r="O215" s="34" t="str">
        <f aca="false">IF(L215&gt;$B$6,"",INDEX(Journal!$AC$7:$AC$506,MATCH(L215,Journal!$AI$7:$AI$506,0)))</f>
        <v/>
      </c>
      <c r="P215" s="35" t="str">
        <f aca="false">IF(L215&gt;$B$6,"",INDEX(Journal!$AD$7:$AD$506,MATCH(L215,Journal!$AI$7:$AI$506,0)))</f>
        <v/>
      </c>
      <c r="Q215" s="34" t="n">
        <f aca="false">IF(L215&gt;$B$6,Q214,Q214+O215)</f>
        <v>20000</v>
      </c>
      <c r="R215" s="34" t="str">
        <f aca="false">IF(L215&gt;$B$6,"",Q215-MAX($Q$5:Q215))</f>
        <v/>
      </c>
    </row>
    <row r="216" customFormat="false" ht="15" hidden="false" customHeight="false" outlineLevel="0" collapsed="false">
      <c r="L216" s="0" t="n">
        <v>211</v>
      </c>
      <c r="M216" s="37" t="str">
        <f aca="false">IF(L216&gt;$B$6,"",INDEX(Journal!$P$7:$P$506,MATCH(L216,Journal!$AI$7:$AI$506,0)))</f>
        <v/>
      </c>
      <c r="N216" s="0" t="str">
        <f aca="false">IF(L216&gt;$B$6,"",INDEX(Journal!$A$7:$A$506,MATCH(L216,Journal!$AI$7:$AI$506,0)))</f>
        <v/>
      </c>
      <c r="O216" s="34" t="str">
        <f aca="false">IF(L216&gt;$B$6,"",INDEX(Journal!$AC$7:$AC$506,MATCH(L216,Journal!$AI$7:$AI$506,0)))</f>
        <v/>
      </c>
      <c r="P216" s="35" t="str">
        <f aca="false">IF(L216&gt;$B$6,"",INDEX(Journal!$AD$7:$AD$506,MATCH(L216,Journal!$AI$7:$AI$506,0)))</f>
        <v/>
      </c>
      <c r="Q216" s="34" t="n">
        <f aca="false">IF(L216&gt;$B$6,Q215,Q215+O216)</f>
        <v>20000</v>
      </c>
      <c r="R216" s="34" t="str">
        <f aca="false">IF(L216&gt;$B$6,"",Q216-MAX($Q$5:Q216))</f>
        <v/>
      </c>
    </row>
    <row r="217" customFormat="false" ht="15" hidden="false" customHeight="false" outlineLevel="0" collapsed="false">
      <c r="L217" s="0" t="n">
        <v>212</v>
      </c>
      <c r="M217" s="37" t="str">
        <f aca="false">IF(L217&gt;$B$6,"",INDEX(Journal!$P$7:$P$506,MATCH(L217,Journal!$AI$7:$AI$506,0)))</f>
        <v/>
      </c>
      <c r="N217" s="0" t="str">
        <f aca="false">IF(L217&gt;$B$6,"",INDEX(Journal!$A$7:$A$506,MATCH(L217,Journal!$AI$7:$AI$506,0)))</f>
        <v/>
      </c>
      <c r="O217" s="34" t="str">
        <f aca="false">IF(L217&gt;$B$6,"",INDEX(Journal!$AC$7:$AC$506,MATCH(L217,Journal!$AI$7:$AI$506,0)))</f>
        <v/>
      </c>
      <c r="P217" s="35" t="str">
        <f aca="false">IF(L217&gt;$B$6,"",INDEX(Journal!$AD$7:$AD$506,MATCH(L217,Journal!$AI$7:$AI$506,0)))</f>
        <v/>
      </c>
      <c r="Q217" s="34" t="n">
        <f aca="false">IF(L217&gt;$B$6,Q216,Q216+O217)</f>
        <v>20000</v>
      </c>
      <c r="R217" s="34" t="str">
        <f aca="false">IF(L217&gt;$B$6,"",Q217-MAX($Q$5:Q217))</f>
        <v/>
      </c>
    </row>
    <row r="218" customFormat="false" ht="15" hidden="false" customHeight="false" outlineLevel="0" collapsed="false">
      <c r="L218" s="0" t="n">
        <v>213</v>
      </c>
      <c r="M218" s="37" t="str">
        <f aca="false">IF(L218&gt;$B$6,"",INDEX(Journal!$P$7:$P$506,MATCH(L218,Journal!$AI$7:$AI$506,0)))</f>
        <v/>
      </c>
      <c r="N218" s="0" t="str">
        <f aca="false">IF(L218&gt;$B$6,"",INDEX(Journal!$A$7:$A$506,MATCH(L218,Journal!$AI$7:$AI$506,0)))</f>
        <v/>
      </c>
      <c r="O218" s="34" t="str">
        <f aca="false">IF(L218&gt;$B$6,"",INDEX(Journal!$AC$7:$AC$506,MATCH(L218,Journal!$AI$7:$AI$506,0)))</f>
        <v/>
      </c>
      <c r="P218" s="35" t="str">
        <f aca="false">IF(L218&gt;$B$6,"",INDEX(Journal!$AD$7:$AD$506,MATCH(L218,Journal!$AI$7:$AI$506,0)))</f>
        <v/>
      </c>
      <c r="Q218" s="34" t="n">
        <f aca="false">IF(L218&gt;$B$6,Q217,Q217+O218)</f>
        <v>20000</v>
      </c>
      <c r="R218" s="34" t="str">
        <f aca="false">IF(L218&gt;$B$6,"",Q218-MAX($Q$5:Q218))</f>
        <v/>
      </c>
    </row>
    <row r="219" customFormat="false" ht="15" hidden="false" customHeight="false" outlineLevel="0" collapsed="false">
      <c r="L219" s="0" t="n">
        <v>214</v>
      </c>
      <c r="M219" s="37" t="str">
        <f aca="false">IF(L219&gt;$B$6,"",INDEX(Journal!$P$7:$P$506,MATCH(L219,Journal!$AI$7:$AI$506,0)))</f>
        <v/>
      </c>
      <c r="N219" s="0" t="str">
        <f aca="false">IF(L219&gt;$B$6,"",INDEX(Journal!$A$7:$A$506,MATCH(L219,Journal!$AI$7:$AI$506,0)))</f>
        <v/>
      </c>
      <c r="O219" s="34" t="str">
        <f aca="false">IF(L219&gt;$B$6,"",INDEX(Journal!$AC$7:$AC$506,MATCH(L219,Journal!$AI$7:$AI$506,0)))</f>
        <v/>
      </c>
      <c r="P219" s="35" t="str">
        <f aca="false">IF(L219&gt;$B$6,"",INDEX(Journal!$AD$7:$AD$506,MATCH(L219,Journal!$AI$7:$AI$506,0)))</f>
        <v/>
      </c>
      <c r="Q219" s="34" t="n">
        <f aca="false">IF(L219&gt;$B$6,Q218,Q218+O219)</f>
        <v>20000</v>
      </c>
      <c r="R219" s="34" t="str">
        <f aca="false">IF(L219&gt;$B$6,"",Q219-MAX($Q$5:Q219))</f>
        <v/>
      </c>
    </row>
    <row r="220" customFormat="false" ht="15" hidden="false" customHeight="false" outlineLevel="0" collapsed="false">
      <c r="L220" s="0" t="n">
        <v>215</v>
      </c>
      <c r="M220" s="37" t="str">
        <f aca="false">IF(L220&gt;$B$6,"",INDEX(Journal!$P$7:$P$506,MATCH(L220,Journal!$AI$7:$AI$506,0)))</f>
        <v/>
      </c>
      <c r="N220" s="0" t="str">
        <f aca="false">IF(L220&gt;$B$6,"",INDEX(Journal!$A$7:$A$506,MATCH(L220,Journal!$AI$7:$AI$506,0)))</f>
        <v/>
      </c>
      <c r="O220" s="34" t="str">
        <f aca="false">IF(L220&gt;$B$6,"",INDEX(Journal!$AC$7:$AC$506,MATCH(L220,Journal!$AI$7:$AI$506,0)))</f>
        <v/>
      </c>
      <c r="P220" s="35" t="str">
        <f aca="false">IF(L220&gt;$B$6,"",INDEX(Journal!$AD$7:$AD$506,MATCH(L220,Journal!$AI$7:$AI$506,0)))</f>
        <v/>
      </c>
      <c r="Q220" s="34" t="n">
        <f aca="false">IF(L220&gt;$B$6,Q219,Q219+O220)</f>
        <v>20000</v>
      </c>
      <c r="R220" s="34" t="str">
        <f aca="false">IF(L220&gt;$B$6,"",Q220-MAX($Q$5:Q220))</f>
        <v/>
      </c>
    </row>
    <row r="221" customFormat="false" ht="15" hidden="false" customHeight="false" outlineLevel="0" collapsed="false">
      <c r="L221" s="0" t="n">
        <v>216</v>
      </c>
      <c r="M221" s="37" t="str">
        <f aca="false">IF(L221&gt;$B$6,"",INDEX(Journal!$P$7:$P$506,MATCH(L221,Journal!$AI$7:$AI$506,0)))</f>
        <v/>
      </c>
      <c r="N221" s="0" t="str">
        <f aca="false">IF(L221&gt;$B$6,"",INDEX(Journal!$A$7:$A$506,MATCH(L221,Journal!$AI$7:$AI$506,0)))</f>
        <v/>
      </c>
      <c r="O221" s="34" t="str">
        <f aca="false">IF(L221&gt;$B$6,"",INDEX(Journal!$AC$7:$AC$506,MATCH(L221,Journal!$AI$7:$AI$506,0)))</f>
        <v/>
      </c>
      <c r="P221" s="35" t="str">
        <f aca="false">IF(L221&gt;$B$6,"",INDEX(Journal!$AD$7:$AD$506,MATCH(L221,Journal!$AI$7:$AI$506,0)))</f>
        <v/>
      </c>
      <c r="Q221" s="34" t="n">
        <f aca="false">IF(L221&gt;$B$6,Q220,Q220+O221)</f>
        <v>20000</v>
      </c>
      <c r="R221" s="34" t="str">
        <f aca="false">IF(L221&gt;$B$6,"",Q221-MAX($Q$5:Q221))</f>
        <v/>
      </c>
    </row>
    <row r="222" customFormat="false" ht="15" hidden="false" customHeight="false" outlineLevel="0" collapsed="false">
      <c r="L222" s="0" t="n">
        <v>217</v>
      </c>
      <c r="M222" s="37" t="str">
        <f aca="false">IF(L222&gt;$B$6,"",INDEX(Journal!$P$7:$P$506,MATCH(L222,Journal!$AI$7:$AI$506,0)))</f>
        <v/>
      </c>
      <c r="N222" s="0" t="str">
        <f aca="false">IF(L222&gt;$B$6,"",INDEX(Journal!$A$7:$A$506,MATCH(L222,Journal!$AI$7:$AI$506,0)))</f>
        <v/>
      </c>
      <c r="O222" s="34" t="str">
        <f aca="false">IF(L222&gt;$B$6,"",INDEX(Journal!$AC$7:$AC$506,MATCH(L222,Journal!$AI$7:$AI$506,0)))</f>
        <v/>
      </c>
      <c r="P222" s="35" t="str">
        <f aca="false">IF(L222&gt;$B$6,"",INDEX(Journal!$AD$7:$AD$506,MATCH(L222,Journal!$AI$7:$AI$506,0)))</f>
        <v/>
      </c>
      <c r="Q222" s="34" t="n">
        <f aca="false">IF(L222&gt;$B$6,Q221,Q221+O222)</f>
        <v>20000</v>
      </c>
      <c r="R222" s="34" t="str">
        <f aca="false">IF(L222&gt;$B$6,"",Q222-MAX($Q$5:Q222))</f>
        <v/>
      </c>
    </row>
    <row r="223" customFormat="false" ht="15" hidden="false" customHeight="false" outlineLevel="0" collapsed="false">
      <c r="L223" s="0" t="n">
        <v>218</v>
      </c>
      <c r="M223" s="37" t="str">
        <f aca="false">IF(L223&gt;$B$6,"",INDEX(Journal!$P$7:$P$506,MATCH(L223,Journal!$AI$7:$AI$506,0)))</f>
        <v/>
      </c>
      <c r="N223" s="0" t="str">
        <f aca="false">IF(L223&gt;$B$6,"",INDEX(Journal!$A$7:$A$506,MATCH(L223,Journal!$AI$7:$AI$506,0)))</f>
        <v/>
      </c>
      <c r="O223" s="34" t="str">
        <f aca="false">IF(L223&gt;$B$6,"",INDEX(Journal!$AC$7:$AC$506,MATCH(L223,Journal!$AI$7:$AI$506,0)))</f>
        <v/>
      </c>
      <c r="P223" s="35" t="str">
        <f aca="false">IF(L223&gt;$B$6,"",INDEX(Journal!$AD$7:$AD$506,MATCH(L223,Journal!$AI$7:$AI$506,0)))</f>
        <v/>
      </c>
      <c r="Q223" s="34" t="n">
        <f aca="false">IF(L223&gt;$B$6,Q222,Q222+O223)</f>
        <v>20000</v>
      </c>
      <c r="R223" s="34" t="str">
        <f aca="false">IF(L223&gt;$B$6,"",Q223-MAX($Q$5:Q223))</f>
        <v/>
      </c>
    </row>
    <row r="224" customFormat="false" ht="15" hidden="false" customHeight="false" outlineLevel="0" collapsed="false">
      <c r="L224" s="0" t="n">
        <v>219</v>
      </c>
      <c r="M224" s="37" t="str">
        <f aca="false">IF(L224&gt;$B$6,"",INDEX(Journal!$P$7:$P$506,MATCH(L224,Journal!$AI$7:$AI$506,0)))</f>
        <v/>
      </c>
      <c r="N224" s="0" t="str">
        <f aca="false">IF(L224&gt;$B$6,"",INDEX(Journal!$A$7:$A$506,MATCH(L224,Journal!$AI$7:$AI$506,0)))</f>
        <v/>
      </c>
      <c r="O224" s="34" t="str">
        <f aca="false">IF(L224&gt;$B$6,"",INDEX(Journal!$AC$7:$AC$506,MATCH(L224,Journal!$AI$7:$AI$506,0)))</f>
        <v/>
      </c>
      <c r="P224" s="35" t="str">
        <f aca="false">IF(L224&gt;$B$6,"",INDEX(Journal!$AD$7:$AD$506,MATCH(L224,Journal!$AI$7:$AI$506,0)))</f>
        <v/>
      </c>
      <c r="Q224" s="34" t="n">
        <f aca="false">IF(L224&gt;$B$6,Q223,Q223+O224)</f>
        <v>20000</v>
      </c>
      <c r="R224" s="34" t="str">
        <f aca="false">IF(L224&gt;$B$6,"",Q224-MAX($Q$5:Q224))</f>
        <v/>
      </c>
    </row>
    <row r="225" customFormat="false" ht="15" hidden="false" customHeight="false" outlineLevel="0" collapsed="false">
      <c r="L225" s="0" t="n">
        <v>220</v>
      </c>
      <c r="M225" s="37" t="str">
        <f aca="false">IF(L225&gt;$B$6,"",INDEX(Journal!$P$7:$P$506,MATCH(L225,Journal!$AI$7:$AI$506,0)))</f>
        <v/>
      </c>
      <c r="N225" s="0" t="str">
        <f aca="false">IF(L225&gt;$B$6,"",INDEX(Journal!$A$7:$A$506,MATCH(L225,Journal!$AI$7:$AI$506,0)))</f>
        <v/>
      </c>
      <c r="O225" s="34" t="str">
        <f aca="false">IF(L225&gt;$B$6,"",INDEX(Journal!$AC$7:$AC$506,MATCH(L225,Journal!$AI$7:$AI$506,0)))</f>
        <v/>
      </c>
      <c r="P225" s="35" t="str">
        <f aca="false">IF(L225&gt;$B$6,"",INDEX(Journal!$AD$7:$AD$506,MATCH(L225,Journal!$AI$7:$AI$506,0)))</f>
        <v/>
      </c>
      <c r="Q225" s="34" t="n">
        <f aca="false">IF(L225&gt;$B$6,Q224,Q224+O225)</f>
        <v>20000</v>
      </c>
      <c r="R225" s="34" t="str">
        <f aca="false">IF(L225&gt;$B$6,"",Q225-MAX($Q$5:Q225))</f>
        <v/>
      </c>
    </row>
    <row r="226" customFormat="false" ht="15" hidden="false" customHeight="false" outlineLevel="0" collapsed="false">
      <c r="L226" s="0" t="n">
        <v>221</v>
      </c>
      <c r="M226" s="37" t="str">
        <f aca="false">IF(L226&gt;$B$6,"",INDEX(Journal!$P$7:$P$506,MATCH(L226,Journal!$AI$7:$AI$506,0)))</f>
        <v/>
      </c>
      <c r="N226" s="0" t="str">
        <f aca="false">IF(L226&gt;$B$6,"",INDEX(Journal!$A$7:$A$506,MATCH(L226,Journal!$AI$7:$AI$506,0)))</f>
        <v/>
      </c>
      <c r="O226" s="34" t="str">
        <f aca="false">IF(L226&gt;$B$6,"",INDEX(Journal!$AC$7:$AC$506,MATCH(L226,Journal!$AI$7:$AI$506,0)))</f>
        <v/>
      </c>
      <c r="P226" s="35" t="str">
        <f aca="false">IF(L226&gt;$B$6,"",INDEX(Journal!$AD$7:$AD$506,MATCH(L226,Journal!$AI$7:$AI$506,0)))</f>
        <v/>
      </c>
      <c r="Q226" s="34" t="n">
        <f aca="false">IF(L226&gt;$B$6,Q225,Q225+O226)</f>
        <v>20000</v>
      </c>
      <c r="R226" s="34" t="str">
        <f aca="false">IF(L226&gt;$B$6,"",Q226-MAX($Q$5:Q226))</f>
        <v/>
      </c>
    </row>
    <row r="227" customFormat="false" ht="15" hidden="false" customHeight="false" outlineLevel="0" collapsed="false">
      <c r="L227" s="0" t="n">
        <v>222</v>
      </c>
      <c r="M227" s="37" t="str">
        <f aca="false">IF(L227&gt;$B$6,"",INDEX(Journal!$P$7:$P$506,MATCH(L227,Journal!$AI$7:$AI$506,0)))</f>
        <v/>
      </c>
      <c r="N227" s="0" t="str">
        <f aca="false">IF(L227&gt;$B$6,"",INDEX(Journal!$A$7:$A$506,MATCH(L227,Journal!$AI$7:$AI$506,0)))</f>
        <v/>
      </c>
      <c r="O227" s="34" t="str">
        <f aca="false">IF(L227&gt;$B$6,"",INDEX(Journal!$AC$7:$AC$506,MATCH(L227,Journal!$AI$7:$AI$506,0)))</f>
        <v/>
      </c>
      <c r="P227" s="35" t="str">
        <f aca="false">IF(L227&gt;$B$6,"",INDEX(Journal!$AD$7:$AD$506,MATCH(L227,Journal!$AI$7:$AI$506,0)))</f>
        <v/>
      </c>
      <c r="Q227" s="34" t="n">
        <f aca="false">IF(L227&gt;$B$6,Q226,Q226+O227)</f>
        <v>20000</v>
      </c>
      <c r="R227" s="34" t="str">
        <f aca="false">IF(L227&gt;$B$6,"",Q227-MAX($Q$5:Q227))</f>
        <v/>
      </c>
    </row>
    <row r="228" customFormat="false" ht="15" hidden="false" customHeight="false" outlineLevel="0" collapsed="false">
      <c r="L228" s="0" t="n">
        <v>223</v>
      </c>
      <c r="M228" s="37" t="str">
        <f aca="false">IF(L228&gt;$B$6,"",INDEX(Journal!$P$7:$P$506,MATCH(L228,Journal!$AI$7:$AI$506,0)))</f>
        <v/>
      </c>
      <c r="N228" s="0" t="str">
        <f aca="false">IF(L228&gt;$B$6,"",INDEX(Journal!$A$7:$A$506,MATCH(L228,Journal!$AI$7:$AI$506,0)))</f>
        <v/>
      </c>
      <c r="O228" s="34" t="str">
        <f aca="false">IF(L228&gt;$B$6,"",INDEX(Journal!$AC$7:$AC$506,MATCH(L228,Journal!$AI$7:$AI$506,0)))</f>
        <v/>
      </c>
      <c r="P228" s="35" t="str">
        <f aca="false">IF(L228&gt;$B$6,"",INDEX(Journal!$AD$7:$AD$506,MATCH(L228,Journal!$AI$7:$AI$506,0)))</f>
        <v/>
      </c>
      <c r="Q228" s="34" t="n">
        <f aca="false">IF(L228&gt;$B$6,Q227,Q227+O228)</f>
        <v>20000</v>
      </c>
      <c r="R228" s="34" t="str">
        <f aca="false">IF(L228&gt;$B$6,"",Q228-MAX($Q$5:Q228))</f>
        <v/>
      </c>
    </row>
    <row r="229" customFormat="false" ht="15" hidden="false" customHeight="false" outlineLevel="0" collapsed="false">
      <c r="L229" s="0" t="n">
        <v>224</v>
      </c>
      <c r="M229" s="37" t="str">
        <f aca="false">IF(L229&gt;$B$6,"",INDEX(Journal!$P$7:$P$506,MATCH(L229,Journal!$AI$7:$AI$506,0)))</f>
        <v/>
      </c>
      <c r="N229" s="0" t="str">
        <f aca="false">IF(L229&gt;$B$6,"",INDEX(Journal!$A$7:$A$506,MATCH(L229,Journal!$AI$7:$AI$506,0)))</f>
        <v/>
      </c>
      <c r="O229" s="34" t="str">
        <f aca="false">IF(L229&gt;$B$6,"",INDEX(Journal!$AC$7:$AC$506,MATCH(L229,Journal!$AI$7:$AI$506,0)))</f>
        <v/>
      </c>
      <c r="P229" s="35" t="str">
        <f aca="false">IF(L229&gt;$B$6,"",INDEX(Journal!$AD$7:$AD$506,MATCH(L229,Journal!$AI$7:$AI$506,0)))</f>
        <v/>
      </c>
      <c r="Q229" s="34" t="n">
        <f aca="false">IF(L229&gt;$B$6,Q228,Q228+O229)</f>
        <v>20000</v>
      </c>
      <c r="R229" s="34" t="str">
        <f aca="false">IF(L229&gt;$B$6,"",Q229-MAX($Q$5:Q229))</f>
        <v/>
      </c>
    </row>
    <row r="230" customFormat="false" ht="15" hidden="false" customHeight="false" outlineLevel="0" collapsed="false">
      <c r="L230" s="0" t="n">
        <v>225</v>
      </c>
      <c r="M230" s="37" t="str">
        <f aca="false">IF(L230&gt;$B$6,"",INDEX(Journal!$P$7:$P$506,MATCH(L230,Journal!$AI$7:$AI$506,0)))</f>
        <v/>
      </c>
      <c r="N230" s="0" t="str">
        <f aca="false">IF(L230&gt;$B$6,"",INDEX(Journal!$A$7:$A$506,MATCH(L230,Journal!$AI$7:$AI$506,0)))</f>
        <v/>
      </c>
      <c r="O230" s="34" t="str">
        <f aca="false">IF(L230&gt;$B$6,"",INDEX(Journal!$AC$7:$AC$506,MATCH(L230,Journal!$AI$7:$AI$506,0)))</f>
        <v/>
      </c>
      <c r="P230" s="35" t="str">
        <f aca="false">IF(L230&gt;$B$6,"",INDEX(Journal!$AD$7:$AD$506,MATCH(L230,Journal!$AI$7:$AI$506,0)))</f>
        <v/>
      </c>
      <c r="Q230" s="34" t="n">
        <f aca="false">IF(L230&gt;$B$6,Q229,Q229+O230)</f>
        <v>20000</v>
      </c>
      <c r="R230" s="34" t="str">
        <f aca="false">IF(L230&gt;$B$6,"",Q230-MAX($Q$5:Q230))</f>
        <v/>
      </c>
    </row>
    <row r="231" customFormat="false" ht="15" hidden="false" customHeight="false" outlineLevel="0" collapsed="false">
      <c r="L231" s="0" t="n">
        <v>226</v>
      </c>
      <c r="M231" s="37" t="str">
        <f aca="false">IF(L231&gt;$B$6,"",INDEX(Journal!$P$7:$P$506,MATCH(L231,Journal!$AI$7:$AI$506,0)))</f>
        <v/>
      </c>
      <c r="N231" s="0" t="str">
        <f aca="false">IF(L231&gt;$B$6,"",INDEX(Journal!$A$7:$A$506,MATCH(L231,Journal!$AI$7:$AI$506,0)))</f>
        <v/>
      </c>
      <c r="O231" s="34" t="str">
        <f aca="false">IF(L231&gt;$B$6,"",INDEX(Journal!$AC$7:$AC$506,MATCH(L231,Journal!$AI$7:$AI$506,0)))</f>
        <v/>
      </c>
      <c r="P231" s="35" t="str">
        <f aca="false">IF(L231&gt;$B$6,"",INDEX(Journal!$AD$7:$AD$506,MATCH(L231,Journal!$AI$7:$AI$506,0)))</f>
        <v/>
      </c>
      <c r="Q231" s="34" t="n">
        <f aca="false">IF(L231&gt;$B$6,Q230,Q230+O231)</f>
        <v>20000</v>
      </c>
      <c r="R231" s="34" t="str">
        <f aca="false">IF(L231&gt;$B$6,"",Q231-MAX($Q$5:Q231))</f>
        <v/>
      </c>
    </row>
    <row r="232" customFormat="false" ht="15" hidden="false" customHeight="false" outlineLevel="0" collapsed="false">
      <c r="L232" s="0" t="n">
        <v>227</v>
      </c>
      <c r="M232" s="37" t="str">
        <f aca="false">IF(L232&gt;$B$6,"",INDEX(Journal!$P$7:$P$506,MATCH(L232,Journal!$AI$7:$AI$506,0)))</f>
        <v/>
      </c>
      <c r="N232" s="0" t="str">
        <f aca="false">IF(L232&gt;$B$6,"",INDEX(Journal!$A$7:$A$506,MATCH(L232,Journal!$AI$7:$AI$506,0)))</f>
        <v/>
      </c>
      <c r="O232" s="34" t="str">
        <f aca="false">IF(L232&gt;$B$6,"",INDEX(Journal!$AC$7:$AC$506,MATCH(L232,Journal!$AI$7:$AI$506,0)))</f>
        <v/>
      </c>
      <c r="P232" s="35" t="str">
        <f aca="false">IF(L232&gt;$B$6,"",INDEX(Journal!$AD$7:$AD$506,MATCH(L232,Journal!$AI$7:$AI$506,0)))</f>
        <v/>
      </c>
      <c r="Q232" s="34" t="n">
        <f aca="false">IF(L232&gt;$B$6,Q231,Q231+O232)</f>
        <v>20000</v>
      </c>
      <c r="R232" s="34" t="str">
        <f aca="false">IF(L232&gt;$B$6,"",Q232-MAX($Q$5:Q232))</f>
        <v/>
      </c>
    </row>
    <row r="233" customFormat="false" ht="15" hidden="false" customHeight="false" outlineLevel="0" collapsed="false">
      <c r="L233" s="0" t="n">
        <v>228</v>
      </c>
      <c r="M233" s="37" t="str">
        <f aca="false">IF(L233&gt;$B$6,"",INDEX(Journal!$P$7:$P$506,MATCH(L233,Journal!$AI$7:$AI$506,0)))</f>
        <v/>
      </c>
      <c r="N233" s="0" t="str">
        <f aca="false">IF(L233&gt;$B$6,"",INDEX(Journal!$A$7:$A$506,MATCH(L233,Journal!$AI$7:$AI$506,0)))</f>
        <v/>
      </c>
      <c r="O233" s="34" t="str">
        <f aca="false">IF(L233&gt;$B$6,"",INDEX(Journal!$AC$7:$AC$506,MATCH(L233,Journal!$AI$7:$AI$506,0)))</f>
        <v/>
      </c>
      <c r="P233" s="35" t="str">
        <f aca="false">IF(L233&gt;$B$6,"",INDEX(Journal!$AD$7:$AD$506,MATCH(L233,Journal!$AI$7:$AI$506,0)))</f>
        <v/>
      </c>
      <c r="Q233" s="34" t="n">
        <f aca="false">IF(L233&gt;$B$6,Q232,Q232+O233)</f>
        <v>20000</v>
      </c>
      <c r="R233" s="34" t="str">
        <f aca="false">IF(L233&gt;$B$6,"",Q233-MAX($Q$5:Q233))</f>
        <v/>
      </c>
    </row>
    <row r="234" customFormat="false" ht="15" hidden="false" customHeight="false" outlineLevel="0" collapsed="false">
      <c r="L234" s="0" t="n">
        <v>229</v>
      </c>
      <c r="M234" s="37" t="str">
        <f aca="false">IF(L234&gt;$B$6,"",INDEX(Journal!$P$7:$P$506,MATCH(L234,Journal!$AI$7:$AI$506,0)))</f>
        <v/>
      </c>
      <c r="N234" s="0" t="str">
        <f aca="false">IF(L234&gt;$B$6,"",INDEX(Journal!$A$7:$A$506,MATCH(L234,Journal!$AI$7:$AI$506,0)))</f>
        <v/>
      </c>
      <c r="O234" s="34" t="str">
        <f aca="false">IF(L234&gt;$B$6,"",INDEX(Journal!$AC$7:$AC$506,MATCH(L234,Journal!$AI$7:$AI$506,0)))</f>
        <v/>
      </c>
      <c r="P234" s="35" t="str">
        <f aca="false">IF(L234&gt;$B$6,"",INDEX(Journal!$AD$7:$AD$506,MATCH(L234,Journal!$AI$7:$AI$506,0)))</f>
        <v/>
      </c>
      <c r="Q234" s="34" t="n">
        <f aca="false">IF(L234&gt;$B$6,Q233,Q233+O234)</f>
        <v>20000</v>
      </c>
      <c r="R234" s="34" t="str">
        <f aca="false">IF(L234&gt;$B$6,"",Q234-MAX($Q$5:Q234))</f>
        <v/>
      </c>
    </row>
    <row r="235" customFormat="false" ht="15" hidden="false" customHeight="false" outlineLevel="0" collapsed="false">
      <c r="L235" s="0" t="n">
        <v>230</v>
      </c>
      <c r="M235" s="37" t="str">
        <f aca="false">IF(L235&gt;$B$6,"",INDEX(Journal!$P$7:$P$506,MATCH(L235,Journal!$AI$7:$AI$506,0)))</f>
        <v/>
      </c>
      <c r="N235" s="0" t="str">
        <f aca="false">IF(L235&gt;$B$6,"",INDEX(Journal!$A$7:$A$506,MATCH(L235,Journal!$AI$7:$AI$506,0)))</f>
        <v/>
      </c>
      <c r="O235" s="34" t="str">
        <f aca="false">IF(L235&gt;$B$6,"",INDEX(Journal!$AC$7:$AC$506,MATCH(L235,Journal!$AI$7:$AI$506,0)))</f>
        <v/>
      </c>
      <c r="P235" s="35" t="str">
        <f aca="false">IF(L235&gt;$B$6,"",INDEX(Journal!$AD$7:$AD$506,MATCH(L235,Journal!$AI$7:$AI$506,0)))</f>
        <v/>
      </c>
      <c r="Q235" s="34" t="n">
        <f aca="false">IF(L235&gt;$B$6,Q234,Q234+O235)</f>
        <v>20000</v>
      </c>
      <c r="R235" s="34" t="str">
        <f aca="false">IF(L235&gt;$B$6,"",Q235-MAX($Q$5:Q235))</f>
        <v/>
      </c>
    </row>
    <row r="236" customFormat="false" ht="15" hidden="false" customHeight="false" outlineLevel="0" collapsed="false">
      <c r="L236" s="0" t="n">
        <v>231</v>
      </c>
      <c r="M236" s="37" t="str">
        <f aca="false">IF(L236&gt;$B$6,"",INDEX(Journal!$P$7:$P$506,MATCH(L236,Journal!$AI$7:$AI$506,0)))</f>
        <v/>
      </c>
      <c r="N236" s="0" t="str">
        <f aca="false">IF(L236&gt;$B$6,"",INDEX(Journal!$A$7:$A$506,MATCH(L236,Journal!$AI$7:$AI$506,0)))</f>
        <v/>
      </c>
      <c r="O236" s="34" t="str">
        <f aca="false">IF(L236&gt;$B$6,"",INDEX(Journal!$AC$7:$AC$506,MATCH(L236,Journal!$AI$7:$AI$506,0)))</f>
        <v/>
      </c>
      <c r="P236" s="35" t="str">
        <f aca="false">IF(L236&gt;$B$6,"",INDEX(Journal!$AD$7:$AD$506,MATCH(L236,Journal!$AI$7:$AI$506,0)))</f>
        <v/>
      </c>
      <c r="Q236" s="34" t="n">
        <f aca="false">IF(L236&gt;$B$6,Q235,Q235+O236)</f>
        <v>20000</v>
      </c>
      <c r="R236" s="34" t="str">
        <f aca="false">IF(L236&gt;$B$6,"",Q236-MAX($Q$5:Q236))</f>
        <v/>
      </c>
    </row>
    <row r="237" customFormat="false" ht="15" hidden="false" customHeight="false" outlineLevel="0" collapsed="false">
      <c r="L237" s="0" t="n">
        <v>232</v>
      </c>
      <c r="M237" s="37" t="str">
        <f aca="false">IF(L237&gt;$B$6,"",INDEX(Journal!$P$7:$P$506,MATCH(L237,Journal!$AI$7:$AI$506,0)))</f>
        <v/>
      </c>
      <c r="N237" s="0" t="str">
        <f aca="false">IF(L237&gt;$B$6,"",INDEX(Journal!$A$7:$A$506,MATCH(L237,Journal!$AI$7:$AI$506,0)))</f>
        <v/>
      </c>
      <c r="O237" s="34" t="str">
        <f aca="false">IF(L237&gt;$B$6,"",INDEX(Journal!$AC$7:$AC$506,MATCH(L237,Journal!$AI$7:$AI$506,0)))</f>
        <v/>
      </c>
      <c r="P237" s="35" t="str">
        <f aca="false">IF(L237&gt;$B$6,"",INDEX(Journal!$AD$7:$AD$506,MATCH(L237,Journal!$AI$7:$AI$506,0)))</f>
        <v/>
      </c>
      <c r="Q237" s="34" t="n">
        <f aca="false">IF(L237&gt;$B$6,Q236,Q236+O237)</f>
        <v>20000</v>
      </c>
      <c r="R237" s="34" t="str">
        <f aca="false">IF(L237&gt;$B$6,"",Q237-MAX($Q$5:Q237))</f>
        <v/>
      </c>
    </row>
    <row r="238" customFormat="false" ht="15" hidden="false" customHeight="false" outlineLevel="0" collapsed="false">
      <c r="L238" s="0" t="n">
        <v>233</v>
      </c>
      <c r="M238" s="37" t="str">
        <f aca="false">IF(L238&gt;$B$6,"",INDEX(Journal!$P$7:$P$506,MATCH(L238,Journal!$AI$7:$AI$506,0)))</f>
        <v/>
      </c>
      <c r="N238" s="0" t="str">
        <f aca="false">IF(L238&gt;$B$6,"",INDEX(Journal!$A$7:$A$506,MATCH(L238,Journal!$AI$7:$AI$506,0)))</f>
        <v/>
      </c>
      <c r="O238" s="34" t="str">
        <f aca="false">IF(L238&gt;$B$6,"",INDEX(Journal!$AC$7:$AC$506,MATCH(L238,Journal!$AI$7:$AI$506,0)))</f>
        <v/>
      </c>
      <c r="P238" s="35" t="str">
        <f aca="false">IF(L238&gt;$B$6,"",INDEX(Journal!$AD$7:$AD$506,MATCH(L238,Journal!$AI$7:$AI$506,0)))</f>
        <v/>
      </c>
      <c r="Q238" s="34" t="n">
        <f aca="false">IF(L238&gt;$B$6,Q237,Q237+O238)</f>
        <v>20000</v>
      </c>
      <c r="R238" s="34" t="str">
        <f aca="false">IF(L238&gt;$B$6,"",Q238-MAX($Q$5:Q238))</f>
        <v/>
      </c>
    </row>
    <row r="239" customFormat="false" ht="15" hidden="false" customHeight="false" outlineLevel="0" collapsed="false">
      <c r="L239" s="0" t="n">
        <v>234</v>
      </c>
      <c r="M239" s="37" t="str">
        <f aca="false">IF(L239&gt;$B$6,"",INDEX(Journal!$P$7:$P$506,MATCH(L239,Journal!$AI$7:$AI$506,0)))</f>
        <v/>
      </c>
      <c r="N239" s="0" t="str">
        <f aca="false">IF(L239&gt;$B$6,"",INDEX(Journal!$A$7:$A$506,MATCH(L239,Journal!$AI$7:$AI$506,0)))</f>
        <v/>
      </c>
      <c r="O239" s="34" t="str">
        <f aca="false">IF(L239&gt;$B$6,"",INDEX(Journal!$AC$7:$AC$506,MATCH(L239,Journal!$AI$7:$AI$506,0)))</f>
        <v/>
      </c>
      <c r="P239" s="35" t="str">
        <f aca="false">IF(L239&gt;$B$6,"",INDEX(Journal!$AD$7:$AD$506,MATCH(L239,Journal!$AI$7:$AI$506,0)))</f>
        <v/>
      </c>
      <c r="Q239" s="34" t="n">
        <f aca="false">IF(L239&gt;$B$6,Q238,Q238+O239)</f>
        <v>20000</v>
      </c>
      <c r="R239" s="34" t="str">
        <f aca="false">IF(L239&gt;$B$6,"",Q239-MAX($Q$5:Q239))</f>
        <v/>
      </c>
    </row>
    <row r="240" customFormat="false" ht="15" hidden="false" customHeight="false" outlineLevel="0" collapsed="false">
      <c r="L240" s="0" t="n">
        <v>235</v>
      </c>
      <c r="M240" s="37" t="str">
        <f aca="false">IF(L240&gt;$B$6,"",INDEX(Journal!$P$7:$P$506,MATCH(L240,Journal!$AI$7:$AI$506,0)))</f>
        <v/>
      </c>
      <c r="N240" s="0" t="str">
        <f aca="false">IF(L240&gt;$B$6,"",INDEX(Journal!$A$7:$A$506,MATCH(L240,Journal!$AI$7:$AI$506,0)))</f>
        <v/>
      </c>
      <c r="O240" s="34" t="str">
        <f aca="false">IF(L240&gt;$B$6,"",INDEX(Journal!$AC$7:$AC$506,MATCH(L240,Journal!$AI$7:$AI$506,0)))</f>
        <v/>
      </c>
      <c r="P240" s="35" t="str">
        <f aca="false">IF(L240&gt;$B$6,"",INDEX(Journal!$AD$7:$AD$506,MATCH(L240,Journal!$AI$7:$AI$506,0)))</f>
        <v/>
      </c>
      <c r="Q240" s="34" t="n">
        <f aca="false">IF(L240&gt;$B$6,Q239,Q239+O240)</f>
        <v>20000</v>
      </c>
      <c r="R240" s="34" t="str">
        <f aca="false">IF(L240&gt;$B$6,"",Q240-MAX($Q$5:Q240))</f>
        <v/>
      </c>
    </row>
    <row r="241" customFormat="false" ht="15" hidden="false" customHeight="false" outlineLevel="0" collapsed="false">
      <c r="L241" s="0" t="n">
        <v>236</v>
      </c>
      <c r="M241" s="37" t="str">
        <f aca="false">IF(L241&gt;$B$6,"",INDEX(Journal!$P$7:$P$506,MATCH(L241,Journal!$AI$7:$AI$506,0)))</f>
        <v/>
      </c>
      <c r="N241" s="0" t="str">
        <f aca="false">IF(L241&gt;$B$6,"",INDEX(Journal!$A$7:$A$506,MATCH(L241,Journal!$AI$7:$AI$506,0)))</f>
        <v/>
      </c>
      <c r="O241" s="34" t="str">
        <f aca="false">IF(L241&gt;$B$6,"",INDEX(Journal!$AC$7:$AC$506,MATCH(L241,Journal!$AI$7:$AI$506,0)))</f>
        <v/>
      </c>
      <c r="P241" s="35" t="str">
        <f aca="false">IF(L241&gt;$B$6,"",INDEX(Journal!$AD$7:$AD$506,MATCH(L241,Journal!$AI$7:$AI$506,0)))</f>
        <v/>
      </c>
      <c r="Q241" s="34" t="n">
        <f aca="false">IF(L241&gt;$B$6,Q240,Q240+O241)</f>
        <v>20000</v>
      </c>
      <c r="R241" s="34" t="str">
        <f aca="false">IF(L241&gt;$B$6,"",Q241-MAX($Q$5:Q241))</f>
        <v/>
      </c>
    </row>
    <row r="242" customFormat="false" ht="15" hidden="false" customHeight="false" outlineLevel="0" collapsed="false">
      <c r="L242" s="0" t="n">
        <v>237</v>
      </c>
      <c r="M242" s="37" t="str">
        <f aca="false">IF(L242&gt;$B$6,"",INDEX(Journal!$P$7:$P$506,MATCH(L242,Journal!$AI$7:$AI$506,0)))</f>
        <v/>
      </c>
      <c r="N242" s="0" t="str">
        <f aca="false">IF(L242&gt;$B$6,"",INDEX(Journal!$A$7:$A$506,MATCH(L242,Journal!$AI$7:$AI$506,0)))</f>
        <v/>
      </c>
      <c r="O242" s="34" t="str">
        <f aca="false">IF(L242&gt;$B$6,"",INDEX(Journal!$AC$7:$AC$506,MATCH(L242,Journal!$AI$7:$AI$506,0)))</f>
        <v/>
      </c>
      <c r="P242" s="35" t="str">
        <f aca="false">IF(L242&gt;$B$6,"",INDEX(Journal!$AD$7:$AD$506,MATCH(L242,Journal!$AI$7:$AI$506,0)))</f>
        <v/>
      </c>
      <c r="Q242" s="34" t="n">
        <f aca="false">IF(L242&gt;$B$6,Q241,Q241+O242)</f>
        <v>20000</v>
      </c>
      <c r="R242" s="34" t="str">
        <f aca="false">IF(L242&gt;$B$6,"",Q242-MAX($Q$5:Q242))</f>
        <v/>
      </c>
    </row>
    <row r="243" customFormat="false" ht="15" hidden="false" customHeight="false" outlineLevel="0" collapsed="false">
      <c r="L243" s="0" t="n">
        <v>238</v>
      </c>
      <c r="M243" s="37" t="str">
        <f aca="false">IF(L243&gt;$B$6,"",INDEX(Journal!$P$7:$P$506,MATCH(L243,Journal!$AI$7:$AI$506,0)))</f>
        <v/>
      </c>
      <c r="N243" s="0" t="str">
        <f aca="false">IF(L243&gt;$B$6,"",INDEX(Journal!$A$7:$A$506,MATCH(L243,Journal!$AI$7:$AI$506,0)))</f>
        <v/>
      </c>
      <c r="O243" s="34" t="str">
        <f aca="false">IF(L243&gt;$B$6,"",INDEX(Journal!$AC$7:$AC$506,MATCH(L243,Journal!$AI$7:$AI$506,0)))</f>
        <v/>
      </c>
      <c r="P243" s="35" t="str">
        <f aca="false">IF(L243&gt;$B$6,"",INDEX(Journal!$AD$7:$AD$506,MATCH(L243,Journal!$AI$7:$AI$506,0)))</f>
        <v/>
      </c>
      <c r="Q243" s="34" t="n">
        <f aca="false">IF(L243&gt;$B$6,Q242,Q242+O243)</f>
        <v>20000</v>
      </c>
      <c r="R243" s="34" t="str">
        <f aca="false">IF(L243&gt;$B$6,"",Q243-MAX($Q$5:Q243))</f>
        <v/>
      </c>
    </row>
    <row r="244" customFormat="false" ht="15" hidden="false" customHeight="false" outlineLevel="0" collapsed="false">
      <c r="L244" s="0" t="n">
        <v>239</v>
      </c>
      <c r="M244" s="37" t="str">
        <f aca="false">IF(L244&gt;$B$6,"",INDEX(Journal!$P$7:$P$506,MATCH(L244,Journal!$AI$7:$AI$506,0)))</f>
        <v/>
      </c>
      <c r="N244" s="0" t="str">
        <f aca="false">IF(L244&gt;$B$6,"",INDEX(Journal!$A$7:$A$506,MATCH(L244,Journal!$AI$7:$AI$506,0)))</f>
        <v/>
      </c>
      <c r="O244" s="34" t="str">
        <f aca="false">IF(L244&gt;$B$6,"",INDEX(Journal!$AC$7:$AC$506,MATCH(L244,Journal!$AI$7:$AI$506,0)))</f>
        <v/>
      </c>
      <c r="P244" s="35" t="str">
        <f aca="false">IF(L244&gt;$B$6,"",INDEX(Journal!$AD$7:$AD$506,MATCH(L244,Journal!$AI$7:$AI$506,0)))</f>
        <v/>
      </c>
      <c r="Q244" s="34" t="n">
        <f aca="false">IF(L244&gt;$B$6,Q243,Q243+O244)</f>
        <v>20000</v>
      </c>
      <c r="R244" s="34" t="str">
        <f aca="false">IF(L244&gt;$B$6,"",Q244-MAX($Q$5:Q244))</f>
        <v/>
      </c>
    </row>
    <row r="245" customFormat="false" ht="15" hidden="false" customHeight="false" outlineLevel="0" collapsed="false">
      <c r="L245" s="0" t="n">
        <v>240</v>
      </c>
      <c r="M245" s="37" t="str">
        <f aca="false">IF(L245&gt;$B$6,"",INDEX(Journal!$P$7:$P$506,MATCH(L245,Journal!$AI$7:$AI$506,0)))</f>
        <v/>
      </c>
      <c r="N245" s="0" t="str">
        <f aca="false">IF(L245&gt;$B$6,"",INDEX(Journal!$A$7:$A$506,MATCH(L245,Journal!$AI$7:$AI$506,0)))</f>
        <v/>
      </c>
      <c r="O245" s="34" t="str">
        <f aca="false">IF(L245&gt;$B$6,"",INDEX(Journal!$AC$7:$AC$506,MATCH(L245,Journal!$AI$7:$AI$506,0)))</f>
        <v/>
      </c>
      <c r="P245" s="35" t="str">
        <f aca="false">IF(L245&gt;$B$6,"",INDEX(Journal!$AD$7:$AD$506,MATCH(L245,Journal!$AI$7:$AI$506,0)))</f>
        <v/>
      </c>
      <c r="Q245" s="34" t="n">
        <f aca="false">IF(L245&gt;$B$6,Q244,Q244+O245)</f>
        <v>20000</v>
      </c>
      <c r="R245" s="34" t="str">
        <f aca="false">IF(L245&gt;$B$6,"",Q245-MAX($Q$5:Q245))</f>
        <v/>
      </c>
    </row>
    <row r="246" customFormat="false" ht="15" hidden="false" customHeight="false" outlineLevel="0" collapsed="false">
      <c r="L246" s="0" t="n">
        <v>241</v>
      </c>
      <c r="M246" s="37" t="str">
        <f aca="false">IF(L246&gt;$B$6,"",INDEX(Journal!$P$7:$P$506,MATCH(L246,Journal!$AI$7:$AI$506,0)))</f>
        <v/>
      </c>
      <c r="N246" s="0" t="str">
        <f aca="false">IF(L246&gt;$B$6,"",INDEX(Journal!$A$7:$A$506,MATCH(L246,Journal!$AI$7:$AI$506,0)))</f>
        <v/>
      </c>
      <c r="O246" s="34" t="str">
        <f aca="false">IF(L246&gt;$B$6,"",INDEX(Journal!$AC$7:$AC$506,MATCH(L246,Journal!$AI$7:$AI$506,0)))</f>
        <v/>
      </c>
      <c r="P246" s="35" t="str">
        <f aca="false">IF(L246&gt;$B$6,"",INDEX(Journal!$AD$7:$AD$506,MATCH(L246,Journal!$AI$7:$AI$506,0)))</f>
        <v/>
      </c>
      <c r="Q246" s="34" t="n">
        <f aca="false">IF(L246&gt;$B$6,Q245,Q245+O246)</f>
        <v>20000</v>
      </c>
      <c r="R246" s="34" t="str">
        <f aca="false">IF(L246&gt;$B$6,"",Q246-MAX($Q$5:Q246))</f>
        <v/>
      </c>
    </row>
    <row r="247" customFormat="false" ht="15" hidden="false" customHeight="false" outlineLevel="0" collapsed="false">
      <c r="L247" s="0" t="n">
        <v>242</v>
      </c>
      <c r="M247" s="37" t="str">
        <f aca="false">IF(L247&gt;$B$6,"",INDEX(Journal!$P$7:$P$506,MATCH(L247,Journal!$AI$7:$AI$506,0)))</f>
        <v/>
      </c>
      <c r="N247" s="0" t="str">
        <f aca="false">IF(L247&gt;$B$6,"",INDEX(Journal!$A$7:$A$506,MATCH(L247,Journal!$AI$7:$AI$506,0)))</f>
        <v/>
      </c>
      <c r="O247" s="34" t="str">
        <f aca="false">IF(L247&gt;$B$6,"",INDEX(Journal!$AC$7:$AC$506,MATCH(L247,Journal!$AI$7:$AI$506,0)))</f>
        <v/>
      </c>
      <c r="P247" s="35" t="str">
        <f aca="false">IF(L247&gt;$B$6,"",INDEX(Journal!$AD$7:$AD$506,MATCH(L247,Journal!$AI$7:$AI$506,0)))</f>
        <v/>
      </c>
      <c r="Q247" s="34" t="n">
        <f aca="false">IF(L247&gt;$B$6,Q246,Q246+O247)</f>
        <v>20000</v>
      </c>
      <c r="R247" s="34" t="str">
        <f aca="false">IF(L247&gt;$B$6,"",Q247-MAX($Q$5:Q247))</f>
        <v/>
      </c>
    </row>
    <row r="248" customFormat="false" ht="15" hidden="false" customHeight="false" outlineLevel="0" collapsed="false">
      <c r="L248" s="0" t="n">
        <v>243</v>
      </c>
      <c r="M248" s="37" t="str">
        <f aca="false">IF(L248&gt;$B$6,"",INDEX(Journal!$P$7:$P$506,MATCH(L248,Journal!$AI$7:$AI$506,0)))</f>
        <v/>
      </c>
      <c r="N248" s="0" t="str">
        <f aca="false">IF(L248&gt;$B$6,"",INDEX(Journal!$A$7:$A$506,MATCH(L248,Journal!$AI$7:$AI$506,0)))</f>
        <v/>
      </c>
      <c r="O248" s="34" t="str">
        <f aca="false">IF(L248&gt;$B$6,"",INDEX(Journal!$AC$7:$AC$506,MATCH(L248,Journal!$AI$7:$AI$506,0)))</f>
        <v/>
      </c>
      <c r="P248" s="35" t="str">
        <f aca="false">IF(L248&gt;$B$6,"",INDEX(Journal!$AD$7:$AD$506,MATCH(L248,Journal!$AI$7:$AI$506,0)))</f>
        <v/>
      </c>
      <c r="Q248" s="34" t="n">
        <f aca="false">IF(L248&gt;$B$6,Q247,Q247+O248)</f>
        <v>20000</v>
      </c>
      <c r="R248" s="34" t="str">
        <f aca="false">IF(L248&gt;$B$6,"",Q248-MAX($Q$5:Q248))</f>
        <v/>
      </c>
    </row>
    <row r="249" customFormat="false" ht="15" hidden="false" customHeight="false" outlineLevel="0" collapsed="false">
      <c r="L249" s="0" t="n">
        <v>244</v>
      </c>
      <c r="M249" s="37" t="str">
        <f aca="false">IF(L249&gt;$B$6,"",INDEX(Journal!$P$7:$P$506,MATCH(L249,Journal!$AI$7:$AI$506,0)))</f>
        <v/>
      </c>
      <c r="N249" s="0" t="str">
        <f aca="false">IF(L249&gt;$B$6,"",INDEX(Journal!$A$7:$A$506,MATCH(L249,Journal!$AI$7:$AI$506,0)))</f>
        <v/>
      </c>
      <c r="O249" s="34" t="str">
        <f aca="false">IF(L249&gt;$B$6,"",INDEX(Journal!$AC$7:$AC$506,MATCH(L249,Journal!$AI$7:$AI$506,0)))</f>
        <v/>
      </c>
      <c r="P249" s="35" t="str">
        <f aca="false">IF(L249&gt;$B$6,"",INDEX(Journal!$AD$7:$AD$506,MATCH(L249,Journal!$AI$7:$AI$506,0)))</f>
        <v/>
      </c>
      <c r="Q249" s="34" t="n">
        <f aca="false">IF(L249&gt;$B$6,Q248,Q248+O249)</f>
        <v>20000</v>
      </c>
      <c r="R249" s="34" t="str">
        <f aca="false">IF(L249&gt;$B$6,"",Q249-MAX($Q$5:Q249))</f>
        <v/>
      </c>
    </row>
    <row r="250" customFormat="false" ht="15" hidden="false" customHeight="false" outlineLevel="0" collapsed="false">
      <c r="L250" s="0" t="n">
        <v>245</v>
      </c>
      <c r="M250" s="37" t="str">
        <f aca="false">IF(L250&gt;$B$6,"",INDEX(Journal!$P$7:$P$506,MATCH(L250,Journal!$AI$7:$AI$506,0)))</f>
        <v/>
      </c>
      <c r="N250" s="0" t="str">
        <f aca="false">IF(L250&gt;$B$6,"",INDEX(Journal!$A$7:$A$506,MATCH(L250,Journal!$AI$7:$AI$506,0)))</f>
        <v/>
      </c>
      <c r="O250" s="34" t="str">
        <f aca="false">IF(L250&gt;$B$6,"",INDEX(Journal!$AC$7:$AC$506,MATCH(L250,Journal!$AI$7:$AI$506,0)))</f>
        <v/>
      </c>
      <c r="P250" s="35" t="str">
        <f aca="false">IF(L250&gt;$B$6,"",INDEX(Journal!$AD$7:$AD$506,MATCH(L250,Journal!$AI$7:$AI$506,0)))</f>
        <v/>
      </c>
      <c r="Q250" s="34" t="n">
        <f aca="false">IF(L250&gt;$B$6,Q249,Q249+O250)</f>
        <v>20000</v>
      </c>
      <c r="R250" s="34" t="str">
        <f aca="false">IF(L250&gt;$B$6,"",Q250-MAX($Q$5:Q250))</f>
        <v/>
      </c>
    </row>
    <row r="251" customFormat="false" ht="15" hidden="false" customHeight="false" outlineLevel="0" collapsed="false">
      <c r="L251" s="0" t="n">
        <v>246</v>
      </c>
      <c r="M251" s="37" t="str">
        <f aca="false">IF(L251&gt;$B$6,"",INDEX(Journal!$P$7:$P$506,MATCH(L251,Journal!$AI$7:$AI$506,0)))</f>
        <v/>
      </c>
      <c r="N251" s="0" t="str">
        <f aca="false">IF(L251&gt;$B$6,"",INDEX(Journal!$A$7:$A$506,MATCH(L251,Journal!$AI$7:$AI$506,0)))</f>
        <v/>
      </c>
      <c r="O251" s="34" t="str">
        <f aca="false">IF(L251&gt;$B$6,"",INDEX(Journal!$AC$7:$AC$506,MATCH(L251,Journal!$AI$7:$AI$506,0)))</f>
        <v/>
      </c>
      <c r="P251" s="35" t="str">
        <f aca="false">IF(L251&gt;$B$6,"",INDEX(Journal!$AD$7:$AD$506,MATCH(L251,Journal!$AI$7:$AI$506,0)))</f>
        <v/>
      </c>
      <c r="Q251" s="34" t="n">
        <f aca="false">IF(L251&gt;$B$6,Q250,Q250+O251)</f>
        <v>20000</v>
      </c>
      <c r="R251" s="34" t="str">
        <f aca="false">IF(L251&gt;$B$6,"",Q251-MAX($Q$5:Q251))</f>
        <v/>
      </c>
    </row>
    <row r="252" customFormat="false" ht="15" hidden="false" customHeight="false" outlineLevel="0" collapsed="false">
      <c r="L252" s="0" t="n">
        <v>247</v>
      </c>
      <c r="M252" s="37" t="str">
        <f aca="false">IF(L252&gt;$B$6,"",INDEX(Journal!$P$7:$P$506,MATCH(L252,Journal!$AI$7:$AI$506,0)))</f>
        <v/>
      </c>
      <c r="N252" s="0" t="str">
        <f aca="false">IF(L252&gt;$B$6,"",INDEX(Journal!$A$7:$A$506,MATCH(L252,Journal!$AI$7:$AI$506,0)))</f>
        <v/>
      </c>
      <c r="O252" s="34" t="str">
        <f aca="false">IF(L252&gt;$B$6,"",INDEX(Journal!$AC$7:$AC$506,MATCH(L252,Journal!$AI$7:$AI$506,0)))</f>
        <v/>
      </c>
      <c r="P252" s="35" t="str">
        <f aca="false">IF(L252&gt;$B$6,"",INDEX(Journal!$AD$7:$AD$506,MATCH(L252,Journal!$AI$7:$AI$506,0)))</f>
        <v/>
      </c>
      <c r="Q252" s="34" t="n">
        <f aca="false">IF(L252&gt;$B$6,Q251,Q251+O252)</f>
        <v>20000</v>
      </c>
      <c r="R252" s="34" t="str">
        <f aca="false">IF(L252&gt;$B$6,"",Q252-MAX($Q$5:Q252))</f>
        <v/>
      </c>
    </row>
    <row r="253" customFormat="false" ht="15" hidden="false" customHeight="false" outlineLevel="0" collapsed="false">
      <c r="L253" s="0" t="n">
        <v>248</v>
      </c>
      <c r="M253" s="37" t="str">
        <f aca="false">IF(L253&gt;$B$6,"",INDEX(Journal!$P$7:$P$506,MATCH(L253,Journal!$AI$7:$AI$506,0)))</f>
        <v/>
      </c>
      <c r="N253" s="0" t="str">
        <f aca="false">IF(L253&gt;$B$6,"",INDEX(Journal!$A$7:$A$506,MATCH(L253,Journal!$AI$7:$AI$506,0)))</f>
        <v/>
      </c>
      <c r="O253" s="34" t="str">
        <f aca="false">IF(L253&gt;$B$6,"",INDEX(Journal!$AC$7:$AC$506,MATCH(L253,Journal!$AI$7:$AI$506,0)))</f>
        <v/>
      </c>
      <c r="P253" s="35" t="str">
        <f aca="false">IF(L253&gt;$B$6,"",INDEX(Journal!$AD$7:$AD$506,MATCH(L253,Journal!$AI$7:$AI$506,0)))</f>
        <v/>
      </c>
      <c r="Q253" s="34" t="n">
        <f aca="false">IF(L253&gt;$B$6,Q252,Q252+O253)</f>
        <v>20000</v>
      </c>
      <c r="R253" s="34" t="str">
        <f aca="false">IF(L253&gt;$B$6,"",Q253-MAX($Q$5:Q253))</f>
        <v/>
      </c>
    </row>
    <row r="254" customFormat="false" ht="15" hidden="false" customHeight="false" outlineLevel="0" collapsed="false">
      <c r="L254" s="0" t="n">
        <v>249</v>
      </c>
      <c r="M254" s="37" t="str">
        <f aca="false">IF(L254&gt;$B$6,"",INDEX(Journal!$P$7:$P$506,MATCH(L254,Journal!$AI$7:$AI$506,0)))</f>
        <v/>
      </c>
      <c r="N254" s="0" t="str">
        <f aca="false">IF(L254&gt;$B$6,"",INDEX(Journal!$A$7:$A$506,MATCH(L254,Journal!$AI$7:$AI$506,0)))</f>
        <v/>
      </c>
      <c r="O254" s="34" t="str">
        <f aca="false">IF(L254&gt;$B$6,"",INDEX(Journal!$AC$7:$AC$506,MATCH(L254,Journal!$AI$7:$AI$506,0)))</f>
        <v/>
      </c>
      <c r="P254" s="35" t="str">
        <f aca="false">IF(L254&gt;$B$6,"",INDEX(Journal!$AD$7:$AD$506,MATCH(L254,Journal!$AI$7:$AI$506,0)))</f>
        <v/>
      </c>
      <c r="Q254" s="34" t="n">
        <f aca="false">IF(L254&gt;$B$6,Q253,Q253+O254)</f>
        <v>20000</v>
      </c>
      <c r="R254" s="34" t="str">
        <f aca="false">IF(L254&gt;$B$6,"",Q254-MAX($Q$5:Q254))</f>
        <v/>
      </c>
    </row>
    <row r="255" customFormat="false" ht="15" hidden="false" customHeight="false" outlineLevel="0" collapsed="false">
      <c r="L255" s="0" t="n">
        <v>250</v>
      </c>
      <c r="M255" s="37" t="str">
        <f aca="false">IF(L255&gt;$B$6,"",INDEX(Journal!$P$7:$P$506,MATCH(L255,Journal!$AI$7:$AI$506,0)))</f>
        <v/>
      </c>
      <c r="N255" s="0" t="str">
        <f aca="false">IF(L255&gt;$B$6,"",INDEX(Journal!$A$7:$A$506,MATCH(L255,Journal!$AI$7:$AI$506,0)))</f>
        <v/>
      </c>
      <c r="O255" s="34" t="str">
        <f aca="false">IF(L255&gt;$B$6,"",INDEX(Journal!$AC$7:$AC$506,MATCH(L255,Journal!$AI$7:$AI$506,0)))</f>
        <v/>
      </c>
      <c r="P255" s="35" t="str">
        <f aca="false">IF(L255&gt;$B$6,"",INDEX(Journal!$AD$7:$AD$506,MATCH(L255,Journal!$AI$7:$AI$506,0)))</f>
        <v/>
      </c>
      <c r="Q255" s="34" t="n">
        <f aca="false">IF(L255&gt;$B$6,Q254,Q254+O255)</f>
        <v>20000</v>
      </c>
      <c r="R255" s="34" t="str">
        <f aca="false">IF(L255&gt;$B$6,"",Q255-MAX($Q$5:Q255))</f>
        <v/>
      </c>
    </row>
    <row r="256" customFormat="false" ht="15" hidden="false" customHeight="false" outlineLevel="0" collapsed="false">
      <c r="L256" s="0" t="n">
        <v>251</v>
      </c>
      <c r="M256" s="37" t="str">
        <f aca="false">IF(L256&gt;$B$6,"",INDEX(Journal!$P$7:$P$506,MATCH(L256,Journal!$AI$7:$AI$506,0)))</f>
        <v/>
      </c>
      <c r="N256" s="0" t="str">
        <f aca="false">IF(L256&gt;$B$6,"",INDEX(Journal!$A$7:$A$506,MATCH(L256,Journal!$AI$7:$AI$506,0)))</f>
        <v/>
      </c>
      <c r="O256" s="34" t="str">
        <f aca="false">IF(L256&gt;$B$6,"",INDEX(Journal!$AC$7:$AC$506,MATCH(L256,Journal!$AI$7:$AI$506,0)))</f>
        <v/>
      </c>
      <c r="P256" s="35" t="str">
        <f aca="false">IF(L256&gt;$B$6,"",INDEX(Journal!$AD$7:$AD$506,MATCH(L256,Journal!$AI$7:$AI$506,0)))</f>
        <v/>
      </c>
      <c r="Q256" s="34" t="n">
        <f aca="false">IF(L256&gt;$B$6,Q255,Q255+O256)</f>
        <v>20000</v>
      </c>
      <c r="R256" s="34" t="str">
        <f aca="false">IF(L256&gt;$B$6,"",Q256-MAX($Q$5:Q256))</f>
        <v/>
      </c>
    </row>
    <row r="257" customFormat="false" ht="15" hidden="false" customHeight="false" outlineLevel="0" collapsed="false">
      <c r="L257" s="0" t="n">
        <v>252</v>
      </c>
      <c r="M257" s="37" t="str">
        <f aca="false">IF(L257&gt;$B$6,"",INDEX(Journal!$P$7:$P$506,MATCH(L257,Journal!$AI$7:$AI$506,0)))</f>
        <v/>
      </c>
      <c r="N257" s="0" t="str">
        <f aca="false">IF(L257&gt;$B$6,"",INDEX(Journal!$A$7:$A$506,MATCH(L257,Journal!$AI$7:$AI$506,0)))</f>
        <v/>
      </c>
      <c r="O257" s="34" t="str">
        <f aca="false">IF(L257&gt;$B$6,"",INDEX(Journal!$AC$7:$AC$506,MATCH(L257,Journal!$AI$7:$AI$506,0)))</f>
        <v/>
      </c>
      <c r="P257" s="35" t="str">
        <f aca="false">IF(L257&gt;$B$6,"",INDEX(Journal!$AD$7:$AD$506,MATCH(L257,Journal!$AI$7:$AI$506,0)))</f>
        <v/>
      </c>
      <c r="Q257" s="34" t="n">
        <f aca="false">IF(L257&gt;$B$6,Q256,Q256+O257)</f>
        <v>20000</v>
      </c>
      <c r="R257" s="34" t="str">
        <f aca="false">IF(L257&gt;$B$6,"",Q257-MAX($Q$5:Q257))</f>
        <v/>
      </c>
    </row>
    <row r="258" customFormat="false" ht="15" hidden="false" customHeight="false" outlineLevel="0" collapsed="false">
      <c r="L258" s="0" t="n">
        <v>253</v>
      </c>
      <c r="M258" s="37" t="str">
        <f aca="false">IF(L258&gt;$B$6,"",INDEX(Journal!$P$7:$P$506,MATCH(L258,Journal!$AI$7:$AI$506,0)))</f>
        <v/>
      </c>
      <c r="N258" s="0" t="str">
        <f aca="false">IF(L258&gt;$B$6,"",INDEX(Journal!$A$7:$A$506,MATCH(L258,Journal!$AI$7:$AI$506,0)))</f>
        <v/>
      </c>
      <c r="O258" s="34" t="str">
        <f aca="false">IF(L258&gt;$B$6,"",INDEX(Journal!$AC$7:$AC$506,MATCH(L258,Journal!$AI$7:$AI$506,0)))</f>
        <v/>
      </c>
      <c r="P258" s="35" t="str">
        <f aca="false">IF(L258&gt;$B$6,"",INDEX(Journal!$AD$7:$AD$506,MATCH(L258,Journal!$AI$7:$AI$506,0)))</f>
        <v/>
      </c>
      <c r="Q258" s="34" t="n">
        <f aca="false">IF(L258&gt;$B$6,Q257,Q257+O258)</f>
        <v>20000</v>
      </c>
      <c r="R258" s="34" t="str">
        <f aca="false">IF(L258&gt;$B$6,"",Q258-MAX($Q$5:Q258))</f>
        <v/>
      </c>
    </row>
    <row r="259" customFormat="false" ht="15" hidden="false" customHeight="false" outlineLevel="0" collapsed="false">
      <c r="L259" s="0" t="n">
        <v>254</v>
      </c>
      <c r="M259" s="37" t="str">
        <f aca="false">IF(L259&gt;$B$6,"",INDEX(Journal!$P$7:$P$506,MATCH(L259,Journal!$AI$7:$AI$506,0)))</f>
        <v/>
      </c>
      <c r="N259" s="0" t="str">
        <f aca="false">IF(L259&gt;$B$6,"",INDEX(Journal!$A$7:$A$506,MATCH(L259,Journal!$AI$7:$AI$506,0)))</f>
        <v/>
      </c>
      <c r="O259" s="34" t="str">
        <f aca="false">IF(L259&gt;$B$6,"",INDEX(Journal!$AC$7:$AC$506,MATCH(L259,Journal!$AI$7:$AI$506,0)))</f>
        <v/>
      </c>
      <c r="P259" s="35" t="str">
        <f aca="false">IF(L259&gt;$B$6,"",INDEX(Journal!$AD$7:$AD$506,MATCH(L259,Journal!$AI$7:$AI$506,0)))</f>
        <v/>
      </c>
      <c r="Q259" s="34" t="n">
        <f aca="false">IF(L259&gt;$B$6,Q258,Q258+O259)</f>
        <v>20000</v>
      </c>
      <c r="R259" s="34" t="str">
        <f aca="false">IF(L259&gt;$B$6,"",Q259-MAX($Q$5:Q259))</f>
        <v/>
      </c>
    </row>
    <row r="260" customFormat="false" ht="15" hidden="false" customHeight="false" outlineLevel="0" collapsed="false">
      <c r="L260" s="0" t="n">
        <v>255</v>
      </c>
      <c r="M260" s="37" t="str">
        <f aca="false">IF(L260&gt;$B$6,"",INDEX(Journal!$P$7:$P$506,MATCH(L260,Journal!$AI$7:$AI$506,0)))</f>
        <v/>
      </c>
      <c r="N260" s="0" t="str">
        <f aca="false">IF(L260&gt;$B$6,"",INDEX(Journal!$A$7:$A$506,MATCH(L260,Journal!$AI$7:$AI$506,0)))</f>
        <v/>
      </c>
      <c r="O260" s="34" t="str">
        <f aca="false">IF(L260&gt;$B$6,"",INDEX(Journal!$AC$7:$AC$506,MATCH(L260,Journal!$AI$7:$AI$506,0)))</f>
        <v/>
      </c>
      <c r="P260" s="35" t="str">
        <f aca="false">IF(L260&gt;$B$6,"",INDEX(Journal!$AD$7:$AD$506,MATCH(L260,Journal!$AI$7:$AI$506,0)))</f>
        <v/>
      </c>
      <c r="Q260" s="34" t="n">
        <f aca="false">IF(L260&gt;$B$6,Q259,Q259+O260)</f>
        <v>20000</v>
      </c>
      <c r="R260" s="34" t="str">
        <f aca="false">IF(L260&gt;$B$6,"",Q260-MAX($Q$5:Q260))</f>
        <v/>
      </c>
    </row>
    <row r="261" customFormat="false" ht="15" hidden="false" customHeight="false" outlineLevel="0" collapsed="false">
      <c r="L261" s="0" t="n">
        <v>256</v>
      </c>
      <c r="M261" s="37" t="str">
        <f aca="false">IF(L261&gt;$B$6,"",INDEX(Journal!$P$7:$P$506,MATCH(L261,Journal!$AI$7:$AI$506,0)))</f>
        <v/>
      </c>
      <c r="N261" s="0" t="str">
        <f aca="false">IF(L261&gt;$B$6,"",INDEX(Journal!$A$7:$A$506,MATCH(L261,Journal!$AI$7:$AI$506,0)))</f>
        <v/>
      </c>
      <c r="O261" s="34" t="str">
        <f aca="false">IF(L261&gt;$B$6,"",INDEX(Journal!$AC$7:$AC$506,MATCH(L261,Journal!$AI$7:$AI$506,0)))</f>
        <v/>
      </c>
      <c r="P261" s="35" t="str">
        <f aca="false">IF(L261&gt;$B$6,"",INDEX(Journal!$AD$7:$AD$506,MATCH(L261,Journal!$AI$7:$AI$506,0)))</f>
        <v/>
      </c>
      <c r="Q261" s="34" t="n">
        <f aca="false">IF(L261&gt;$B$6,Q260,Q260+O261)</f>
        <v>20000</v>
      </c>
      <c r="R261" s="34" t="str">
        <f aca="false">IF(L261&gt;$B$6,"",Q261-MAX($Q$5:Q261))</f>
        <v/>
      </c>
    </row>
    <row r="262" customFormat="false" ht="15" hidden="false" customHeight="false" outlineLevel="0" collapsed="false">
      <c r="L262" s="0" t="n">
        <v>257</v>
      </c>
      <c r="M262" s="37" t="str">
        <f aca="false">IF(L262&gt;$B$6,"",INDEX(Journal!$P$7:$P$506,MATCH(L262,Journal!$AI$7:$AI$506,0)))</f>
        <v/>
      </c>
      <c r="N262" s="0" t="str">
        <f aca="false">IF(L262&gt;$B$6,"",INDEX(Journal!$A$7:$A$506,MATCH(L262,Journal!$AI$7:$AI$506,0)))</f>
        <v/>
      </c>
      <c r="O262" s="34" t="str">
        <f aca="false">IF(L262&gt;$B$6,"",INDEX(Journal!$AC$7:$AC$506,MATCH(L262,Journal!$AI$7:$AI$506,0)))</f>
        <v/>
      </c>
      <c r="P262" s="35" t="str">
        <f aca="false">IF(L262&gt;$B$6,"",INDEX(Journal!$AD$7:$AD$506,MATCH(L262,Journal!$AI$7:$AI$506,0)))</f>
        <v/>
      </c>
      <c r="Q262" s="34" t="n">
        <f aca="false">IF(L262&gt;$B$6,Q261,Q261+O262)</f>
        <v>20000</v>
      </c>
      <c r="R262" s="34" t="str">
        <f aca="false">IF(L262&gt;$B$6,"",Q262-MAX($Q$5:Q262))</f>
        <v/>
      </c>
    </row>
    <row r="263" customFormat="false" ht="15" hidden="false" customHeight="false" outlineLevel="0" collapsed="false">
      <c r="L263" s="0" t="n">
        <v>258</v>
      </c>
      <c r="M263" s="37" t="str">
        <f aca="false">IF(L263&gt;$B$6,"",INDEX(Journal!$P$7:$P$506,MATCH(L263,Journal!$AI$7:$AI$506,0)))</f>
        <v/>
      </c>
      <c r="N263" s="0" t="str">
        <f aca="false">IF(L263&gt;$B$6,"",INDEX(Journal!$A$7:$A$506,MATCH(L263,Journal!$AI$7:$AI$506,0)))</f>
        <v/>
      </c>
      <c r="O263" s="34" t="str">
        <f aca="false">IF(L263&gt;$B$6,"",INDEX(Journal!$AC$7:$AC$506,MATCH(L263,Journal!$AI$7:$AI$506,0)))</f>
        <v/>
      </c>
      <c r="P263" s="35" t="str">
        <f aca="false">IF(L263&gt;$B$6,"",INDEX(Journal!$AD$7:$AD$506,MATCH(L263,Journal!$AI$7:$AI$506,0)))</f>
        <v/>
      </c>
      <c r="Q263" s="34" t="n">
        <f aca="false">IF(L263&gt;$B$6,Q262,Q262+O263)</f>
        <v>20000</v>
      </c>
      <c r="R263" s="34" t="str">
        <f aca="false">IF(L263&gt;$B$6,"",Q263-MAX($Q$5:Q263))</f>
        <v/>
      </c>
    </row>
    <row r="264" customFormat="false" ht="15" hidden="false" customHeight="false" outlineLevel="0" collapsed="false">
      <c r="L264" s="0" t="n">
        <v>259</v>
      </c>
      <c r="M264" s="37" t="str">
        <f aca="false">IF(L264&gt;$B$6,"",INDEX(Journal!$P$7:$P$506,MATCH(L264,Journal!$AI$7:$AI$506,0)))</f>
        <v/>
      </c>
      <c r="N264" s="0" t="str">
        <f aca="false">IF(L264&gt;$B$6,"",INDEX(Journal!$A$7:$A$506,MATCH(L264,Journal!$AI$7:$AI$506,0)))</f>
        <v/>
      </c>
      <c r="O264" s="34" t="str">
        <f aca="false">IF(L264&gt;$B$6,"",INDEX(Journal!$AC$7:$AC$506,MATCH(L264,Journal!$AI$7:$AI$506,0)))</f>
        <v/>
      </c>
      <c r="P264" s="35" t="str">
        <f aca="false">IF(L264&gt;$B$6,"",INDEX(Journal!$AD$7:$AD$506,MATCH(L264,Journal!$AI$7:$AI$506,0)))</f>
        <v/>
      </c>
      <c r="Q264" s="34" t="n">
        <f aca="false">IF(L264&gt;$B$6,Q263,Q263+O264)</f>
        <v>20000</v>
      </c>
      <c r="R264" s="34" t="str">
        <f aca="false">IF(L264&gt;$B$6,"",Q264-MAX($Q$5:Q264))</f>
        <v/>
      </c>
    </row>
    <row r="265" customFormat="false" ht="15" hidden="false" customHeight="false" outlineLevel="0" collapsed="false">
      <c r="L265" s="0" t="n">
        <v>260</v>
      </c>
      <c r="M265" s="37" t="str">
        <f aca="false">IF(L265&gt;$B$6,"",INDEX(Journal!$P$7:$P$506,MATCH(L265,Journal!$AI$7:$AI$506,0)))</f>
        <v/>
      </c>
      <c r="N265" s="0" t="str">
        <f aca="false">IF(L265&gt;$B$6,"",INDEX(Journal!$A$7:$A$506,MATCH(L265,Journal!$AI$7:$AI$506,0)))</f>
        <v/>
      </c>
      <c r="O265" s="34" t="str">
        <f aca="false">IF(L265&gt;$B$6,"",INDEX(Journal!$AC$7:$AC$506,MATCH(L265,Journal!$AI$7:$AI$506,0)))</f>
        <v/>
      </c>
      <c r="P265" s="35" t="str">
        <f aca="false">IF(L265&gt;$B$6,"",INDEX(Journal!$AD$7:$AD$506,MATCH(L265,Journal!$AI$7:$AI$506,0)))</f>
        <v/>
      </c>
      <c r="Q265" s="34" t="n">
        <f aca="false">IF(L265&gt;$B$6,Q264,Q264+O265)</f>
        <v>20000</v>
      </c>
      <c r="R265" s="34" t="str">
        <f aca="false">IF(L265&gt;$B$6,"",Q265-MAX($Q$5:Q265))</f>
        <v/>
      </c>
    </row>
    <row r="266" customFormat="false" ht="15" hidden="false" customHeight="false" outlineLevel="0" collapsed="false">
      <c r="L266" s="0" t="n">
        <v>261</v>
      </c>
      <c r="M266" s="37" t="str">
        <f aca="false">IF(L266&gt;$B$6,"",INDEX(Journal!$P$7:$P$506,MATCH(L266,Journal!$AI$7:$AI$506,0)))</f>
        <v/>
      </c>
      <c r="N266" s="0" t="str">
        <f aca="false">IF(L266&gt;$B$6,"",INDEX(Journal!$A$7:$A$506,MATCH(L266,Journal!$AI$7:$AI$506,0)))</f>
        <v/>
      </c>
      <c r="O266" s="34" t="str">
        <f aca="false">IF(L266&gt;$B$6,"",INDEX(Journal!$AC$7:$AC$506,MATCH(L266,Journal!$AI$7:$AI$506,0)))</f>
        <v/>
      </c>
      <c r="P266" s="35" t="str">
        <f aca="false">IF(L266&gt;$B$6,"",INDEX(Journal!$AD$7:$AD$506,MATCH(L266,Journal!$AI$7:$AI$506,0)))</f>
        <v/>
      </c>
      <c r="Q266" s="34" t="n">
        <f aca="false">IF(L266&gt;$B$6,Q265,Q265+O266)</f>
        <v>20000</v>
      </c>
      <c r="R266" s="34" t="str">
        <f aca="false">IF(L266&gt;$B$6,"",Q266-MAX($Q$5:Q266))</f>
        <v/>
      </c>
    </row>
    <row r="267" customFormat="false" ht="15" hidden="false" customHeight="false" outlineLevel="0" collapsed="false">
      <c r="L267" s="0" t="n">
        <v>262</v>
      </c>
      <c r="M267" s="37" t="str">
        <f aca="false">IF(L267&gt;$B$6,"",INDEX(Journal!$P$7:$P$506,MATCH(L267,Journal!$AI$7:$AI$506,0)))</f>
        <v/>
      </c>
      <c r="N267" s="0" t="str">
        <f aca="false">IF(L267&gt;$B$6,"",INDEX(Journal!$A$7:$A$506,MATCH(L267,Journal!$AI$7:$AI$506,0)))</f>
        <v/>
      </c>
      <c r="O267" s="34" t="str">
        <f aca="false">IF(L267&gt;$B$6,"",INDEX(Journal!$AC$7:$AC$506,MATCH(L267,Journal!$AI$7:$AI$506,0)))</f>
        <v/>
      </c>
      <c r="P267" s="35" t="str">
        <f aca="false">IF(L267&gt;$B$6,"",INDEX(Journal!$AD$7:$AD$506,MATCH(L267,Journal!$AI$7:$AI$506,0)))</f>
        <v/>
      </c>
      <c r="Q267" s="34" t="n">
        <f aca="false">IF(L267&gt;$B$6,Q266,Q266+O267)</f>
        <v>20000</v>
      </c>
      <c r="R267" s="34" t="str">
        <f aca="false">IF(L267&gt;$B$6,"",Q267-MAX($Q$5:Q267))</f>
        <v/>
      </c>
    </row>
    <row r="268" customFormat="false" ht="15" hidden="false" customHeight="false" outlineLevel="0" collapsed="false">
      <c r="L268" s="0" t="n">
        <v>263</v>
      </c>
      <c r="M268" s="37" t="str">
        <f aca="false">IF(L268&gt;$B$6,"",INDEX(Journal!$P$7:$P$506,MATCH(L268,Journal!$AI$7:$AI$506,0)))</f>
        <v/>
      </c>
      <c r="N268" s="0" t="str">
        <f aca="false">IF(L268&gt;$B$6,"",INDEX(Journal!$A$7:$A$506,MATCH(L268,Journal!$AI$7:$AI$506,0)))</f>
        <v/>
      </c>
      <c r="O268" s="34" t="str">
        <f aca="false">IF(L268&gt;$B$6,"",INDEX(Journal!$AC$7:$AC$506,MATCH(L268,Journal!$AI$7:$AI$506,0)))</f>
        <v/>
      </c>
      <c r="P268" s="35" t="str">
        <f aca="false">IF(L268&gt;$B$6,"",INDEX(Journal!$AD$7:$AD$506,MATCH(L268,Journal!$AI$7:$AI$506,0)))</f>
        <v/>
      </c>
      <c r="Q268" s="34" t="n">
        <f aca="false">IF(L268&gt;$B$6,Q267,Q267+O268)</f>
        <v>20000</v>
      </c>
      <c r="R268" s="34" t="str">
        <f aca="false">IF(L268&gt;$B$6,"",Q268-MAX($Q$5:Q268))</f>
        <v/>
      </c>
    </row>
    <row r="269" customFormat="false" ht="15" hidden="false" customHeight="false" outlineLevel="0" collapsed="false">
      <c r="L269" s="0" t="n">
        <v>264</v>
      </c>
      <c r="M269" s="37" t="str">
        <f aca="false">IF(L269&gt;$B$6,"",INDEX(Journal!$P$7:$P$506,MATCH(L269,Journal!$AI$7:$AI$506,0)))</f>
        <v/>
      </c>
      <c r="N269" s="0" t="str">
        <f aca="false">IF(L269&gt;$B$6,"",INDEX(Journal!$A$7:$A$506,MATCH(L269,Journal!$AI$7:$AI$506,0)))</f>
        <v/>
      </c>
      <c r="O269" s="34" t="str">
        <f aca="false">IF(L269&gt;$B$6,"",INDEX(Journal!$AC$7:$AC$506,MATCH(L269,Journal!$AI$7:$AI$506,0)))</f>
        <v/>
      </c>
      <c r="P269" s="35" t="str">
        <f aca="false">IF(L269&gt;$B$6,"",INDEX(Journal!$AD$7:$AD$506,MATCH(L269,Journal!$AI$7:$AI$506,0)))</f>
        <v/>
      </c>
      <c r="Q269" s="34" t="n">
        <f aca="false">IF(L269&gt;$B$6,Q268,Q268+O269)</f>
        <v>20000</v>
      </c>
      <c r="R269" s="34" t="str">
        <f aca="false">IF(L269&gt;$B$6,"",Q269-MAX($Q$5:Q269))</f>
        <v/>
      </c>
    </row>
    <row r="270" customFormat="false" ht="15" hidden="false" customHeight="false" outlineLevel="0" collapsed="false">
      <c r="L270" s="0" t="n">
        <v>265</v>
      </c>
      <c r="M270" s="37" t="str">
        <f aca="false">IF(L270&gt;$B$6,"",INDEX(Journal!$P$7:$P$506,MATCH(L270,Journal!$AI$7:$AI$506,0)))</f>
        <v/>
      </c>
      <c r="N270" s="0" t="str">
        <f aca="false">IF(L270&gt;$B$6,"",INDEX(Journal!$A$7:$A$506,MATCH(L270,Journal!$AI$7:$AI$506,0)))</f>
        <v/>
      </c>
      <c r="O270" s="34" t="str">
        <f aca="false">IF(L270&gt;$B$6,"",INDEX(Journal!$AC$7:$AC$506,MATCH(L270,Journal!$AI$7:$AI$506,0)))</f>
        <v/>
      </c>
      <c r="P270" s="35" t="str">
        <f aca="false">IF(L270&gt;$B$6,"",INDEX(Journal!$AD$7:$AD$506,MATCH(L270,Journal!$AI$7:$AI$506,0)))</f>
        <v/>
      </c>
      <c r="Q270" s="34" t="n">
        <f aca="false">IF(L270&gt;$B$6,Q269,Q269+O270)</f>
        <v>20000</v>
      </c>
      <c r="R270" s="34" t="str">
        <f aca="false">IF(L270&gt;$B$6,"",Q270-MAX($Q$5:Q270))</f>
        <v/>
      </c>
    </row>
    <row r="271" customFormat="false" ht="15" hidden="false" customHeight="false" outlineLevel="0" collapsed="false">
      <c r="L271" s="0" t="n">
        <v>266</v>
      </c>
      <c r="M271" s="37" t="str">
        <f aca="false">IF(L271&gt;$B$6,"",INDEX(Journal!$P$7:$P$506,MATCH(L271,Journal!$AI$7:$AI$506,0)))</f>
        <v/>
      </c>
      <c r="N271" s="0" t="str">
        <f aca="false">IF(L271&gt;$B$6,"",INDEX(Journal!$A$7:$A$506,MATCH(L271,Journal!$AI$7:$AI$506,0)))</f>
        <v/>
      </c>
      <c r="O271" s="34" t="str">
        <f aca="false">IF(L271&gt;$B$6,"",INDEX(Journal!$AC$7:$AC$506,MATCH(L271,Journal!$AI$7:$AI$506,0)))</f>
        <v/>
      </c>
      <c r="P271" s="35" t="str">
        <f aca="false">IF(L271&gt;$B$6,"",INDEX(Journal!$AD$7:$AD$506,MATCH(L271,Journal!$AI$7:$AI$506,0)))</f>
        <v/>
      </c>
      <c r="Q271" s="34" t="n">
        <f aca="false">IF(L271&gt;$B$6,Q270,Q270+O271)</f>
        <v>20000</v>
      </c>
      <c r="R271" s="34" t="str">
        <f aca="false">IF(L271&gt;$B$6,"",Q271-MAX($Q$5:Q271))</f>
        <v/>
      </c>
    </row>
    <row r="272" customFormat="false" ht="15" hidden="false" customHeight="false" outlineLevel="0" collapsed="false">
      <c r="L272" s="0" t="n">
        <v>267</v>
      </c>
      <c r="M272" s="37" t="str">
        <f aca="false">IF(L272&gt;$B$6,"",INDEX(Journal!$P$7:$P$506,MATCH(L272,Journal!$AI$7:$AI$506,0)))</f>
        <v/>
      </c>
      <c r="N272" s="0" t="str">
        <f aca="false">IF(L272&gt;$B$6,"",INDEX(Journal!$A$7:$A$506,MATCH(L272,Journal!$AI$7:$AI$506,0)))</f>
        <v/>
      </c>
      <c r="O272" s="34" t="str">
        <f aca="false">IF(L272&gt;$B$6,"",INDEX(Journal!$AC$7:$AC$506,MATCH(L272,Journal!$AI$7:$AI$506,0)))</f>
        <v/>
      </c>
      <c r="P272" s="35" t="str">
        <f aca="false">IF(L272&gt;$B$6,"",INDEX(Journal!$AD$7:$AD$506,MATCH(L272,Journal!$AI$7:$AI$506,0)))</f>
        <v/>
      </c>
      <c r="Q272" s="34" t="n">
        <f aca="false">IF(L272&gt;$B$6,Q271,Q271+O272)</f>
        <v>20000</v>
      </c>
      <c r="R272" s="34" t="str">
        <f aca="false">IF(L272&gt;$B$6,"",Q272-MAX($Q$5:Q272))</f>
        <v/>
      </c>
    </row>
    <row r="273" customFormat="false" ht="15" hidden="false" customHeight="false" outlineLevel="0" collapsed="false">
      <c r="L273" s="0" t="n">
        <v>268</v>
      </c>
      <c r="M273" s="37" t="str">
        <f aca="false">IF(L273&gt;$B$6,"",INDEX(Journal!$P$7:$P$506,MATCH(L273,Journal!$AI$7:$AI$506,0)))</f>
        <v/>
      </c>
      <c r="N273" s="0" t="str">
        <f aca="false">IF(L273&gt;$B$6,"",INDEX(Journal!$A$7:$A$506,MATCH(L273,Journal!$AI$7:$AI$506,0)))</f>
        <v/>
      </c>
      <c r="O273" s="34" t="str">
        <f aca="false">IF(L273&gt;$B$6,"",INDEX(Journal!$AC$7:$AC$506,MATCH(L273,Journal!$AI$7:$AI$506,0)))</f>
        <v/>
      </c>
      <c r="P273" s="35" t="str">
        <f aca="false">IF(L273&gt;$B$6,"",INDEX(Journal!$AD$7:$AD$506,MATCH(L273,Journal!$AI$7:$AI$506,0)))</f>
        <v/>
      </c>
      <c r="Q273" s="34" t="n">
        <f aca="false">IF(L273&gt;$B$6,Q272,Q272+O273)</f>
        <v>20000</v>
      </c>
      <c r="R273" s="34" t="str">
        <f aca="false">IF(L273&gt;$B$6,"",Q273-MAX($Q$5:Q273))</f>
        <v/>
      </c>
    </row>
    <row r="274" customFormat="false" ht="15" hidden="false" customHeight="false" outlineLevel="0" collapsed="false">
      <c r="L274" s="0" t="n">
        <v>269</v>
      </c>
      <c r="M274" s="37" t="str">
        <f aca="false">IF(L274&gt;$B$6,"",INDEX(Journal!$P$7:$P$506,MATCH(L274,Journal!$AI$7:$AI$506,0)))</f>
        <v/>
      </c>
      <c r="N274" s="0" t="str">
        <f aca="false">IF(L274&gt;$B$6,"",INDEX(Journal!$A$7:$A$506,MATCH(L274,Journal!$AI$7:$AI$506,0)))</f>
        <v/>
      </c>
      <c r="O274" s="34" t="str">
        <f aca="false">IF(L274&gt;$B$6,"",INDEX(Journal!$AC$7:$AC$506,MATCH(L274,Journal!$AI$7:$AI$506,0)))</f>
        <v/>
      </c>
      <c r="P274" s="35" t="str">
        <f aca="false">IF(L274&gt;$B$6,"",INDEX(Journal!$AD$7:$AD$506,MATCH(L274,Journal!$AI$7:$AI$506,0)))</f>
        <v/>
      </c>
      <c r="Q274" s="34" t="n">
        <f aca="false">IF(L274&gt;$B$6,Q273,Q273+O274)</f>
        <v>20000</v>
      </c>
      <c r="R274" s="34" t="str">
        <f aca="false">IF(L274&gt;$B$6,"",Q274-MAX($Q$5:Q274))</f>
        <v/>
      </c>
    </row>
    <row r="275" customFormat="false" ht="15" hidden="false" customHeight="false" outlineLevel="0" collapsed="false">
      <c r="L275" s="0" t="n">
        <v>270</v>
      </c>
      <c r="M275" s="37" t="str">
        <f aca="false">IF(L275&gt;$B$6,"",INDEX(Journal!$P$7:$P$506,MATCH(L275,Journal!$AI$7:$AI$506,0)))</f>
        <v/>
      </c>
      <c r="N275" s="0" t="str">
        <f aca="false">IF(L275&gt;$B$6,"",INDEX(Journal!$A$7:$A$506,MATCH(L275,Journal!$AI$7:$AI$506,0)))</f>
        <v/>
      </c>
      <c r="O275" s="34" t="str">
        <f aca="false">IF(L275&gt;$B$6,"",INDEX(Journal!$AC$7:$AC$506,MATCH(L275,Journal!$AI$7:$AI$506,0)))</f>
        <v/>
      </c>
      <c r="P275" s="35" t="str">
        <f aca="false">IF(L275&gt;$B$6,"",INDEX(Journal!$AD$7:$AD$506,MATCH(L275,Journal!$AI$7:$AI$506,0)))</f>
        <v/>
      </c>
      <c r="Q275" s="34" t="n">
        <f aca="false">IF(L275&gt;$B$6,Q274,Q274+O275)</f>
        <v>20000</v>
      </c>
      <c r="R275" s="34" t="str">
        <f aca="false">IF(L275&gt;$B$6,"",Q275-MAX($Q$5:Q275))</f>
        <v/>
      </c>
    </row>
    <row r="276" customFormat="false" ht="15" hidden="false" customHeight="false" outlineLevel="0" collapsed="false">
      <c r="L276" s="0" t="n">
        <v>271</v>
      </c>
      <c r="M276" s="37" t="str">
        <f aca="false">IF(L276&gt;$B$6,"",INDEX(Journal!$P$7:$P$506,MATCH(L276,Journal!$AI$7:$AI$506,0)))</f>
        <v/>
      </c>
      <c r="N276" s="0" t="str">
        <f aca="false">IF(L276&gt;$B$6,"",INDEX(Journal!$A$7:$A$506,MATCH(L276,Journal!$AI$7:$AI$506,0)))</f>
        <v/>
      </c>
      <c r="O276" s="34" t="str">
        <f aca="false">IF(L276&gt;$B$6,"",INDEX(Journal!$AC$7:$AC$506,MATCH(L276,Journal!$AI$7:$AI$506,0)))</f>
        <v/>
      </c>
      <c r="P276" s="35" t="str">
        <f aca="false">IF(L276&gt;$B$6,"",INDEX(Journal!$AD$7:$AD$506,MATCH(L276,Journal!$AI$7:$AI$506,0)))</f>
        <v/>
      </c>
      <c r="Q276" s="34" t="n">
        <f aca="false">IF(L276&gt;$B$6,Q275,Q275+O276)</f>
        <v>20000</v>
      </c>
      <c r="R276" s="34" t="str">
        <f aca="false">IF(L276&gt;$B$6,"",Q276-MAX($Q$5:Q276))</f>
        <v/>
      </c>
    </row>
    <row r="277" customFormat="false" ht="15" hidden="false" customHeight="false" outlineLevel="0" collapsed="false">
      <c r="L277" s="0" t="n">
        <v>272</v>
      </c>
      <c r="M277" s="37" t="str">
        <f aca="false">IF(L277&gt;$B$6,"",INDEX(Journal!$P$7:$P$506,MATCH(L277,Journal!$AI$7:$AI$506,0)))</f>
        <v/>
      </c>
      <c r="N277" s="0" t="str">
        <f aca="false">IF(L277&gt;$B$6,"",INDEX(Journal!$A$7:$A$506,MATCH(L277,Journal!$AI$7:$AI$506,0)))</f>
        <v/>
      </c>
      <c r="O277" s="34" t="str">
        <f aca="false">IF(L277&gt;$B$6,"",INDEX(Journal!$AC$7:$AC$506,MATCH(L277,Journal!$AI$7:$AI$506,0)))</f>
        <v/>
      </c>
      <c r="P277" s="35" t="str">
        <f aca="false">IF(L277&gt;$B$6,"",INDEX(Journal!$AD$7:$AD$506,MATCH(L277,Journal!$AI$7:$AI$506,0)))</f>
        <v/>
      </c>
      <c r="Q277" s="34" t="n">
        <f aca="false">IF(L277&gt;$B$6,Q276,Q276+O277)</f>
        <v>20000</v>
      </c>
      <c r="R277" s="34" t="str">
        <f aca="false">IF(L277&gt;$B$6,"",Q277-MAX($Q$5:Q277))</f>
        <v/>
      </c>
    </row>
    <row r="278" customFormat="false" ht="15" hidden="false" customHeight="false" outlineLevel="0" collapsed="false">
      <c r="L278" s="0" t="n">
        <v>273</v>
      </c>
      <c r="M278" s="37" t="str">
        <f aca="false">IF(L278&gt;$B$6,"",INDEX(Journal!$P$7:$P$506,MATCH(L278,Journal!$AI$7:$AI$506,0)))</f>
        <v/>
      </c>
      <c r="N278" s="0" t="str">
        <f aca="false">IF(L278&gt;$B$6,"",INDEX(Journal!$A$7:$A$506,MATCH(L278,Journal!$AI$7:$AI$506,0)))</f>
        <v/>
      </c>
      <c r="O278" s="34" t="str">
        <f aca="false">IF(L278&gt;$B$6,"",INDEX(Journal!$AC$7:$AC$506,MATCH(L278,Journal!$AI$7:$AI$506,0)))</f>
        <v/>
      </c>
      <c r="P278" s="35" t="str">
        <f aca="false">IF(L278&gt;$B$6,"",INDEX(Journal!$AD$7:$AD$506,MATCH(L278,Journal!$AI$7:$AI$506,0)))</f>
        <v/>
      </c>
      <c r="Q278" s="34" t="n">
        <f aca="false">IF(L278&gt;$B$6,Q277,Q277+O278)</f>
        <v>20000</v>
      </c>
      <c r="R278" s="34" t="str">
        <f aca="false">IF(L278&gt;$B$6,"",Q278-MAX($Q$5:Q278))</f>
        <v/>
      </c>
    </row>
    <row r="279" customFormat="false" ht="15" hidden="false" customHeight="false" outlineLevel="0" collapsed="false">
      <c r="L279" s="0" t="n">
        <v>274</v>
      </c>
      <c r="M279" s="37" t="str">
        <f aca="false">IF(L279&gt;$B$6,"",INDEX(Journal!$P$7:$P$506,MATCH(L279,Journal!$AI$7:$AI$506,0)))</f>
        <v/>
      </c>
      <c r="N279" s="0" t="str">
        <f aca="false">IF(L279&gt;$B$6,"",INDEX(Journal!$A$7:$A$506,MATCH(L279,Journal!$AI$7:$AI$506,0)))</f>
        <v/>
      </c>
      <c r="O279" s="34" t="str">
        <f aca="false">IF(L279&gt;$B$6,"",INDEX(Journal!$AC$7:$AC$506,MATCH(L279,Journal!$AI$7:$AI$506,0)))</f>
        <v/>
      </c>
      <c r="P279" s="35" t="str">
        <f aca="false">IF(L279&gt;$B$6,"",INDEX(Journal!$AD$7:$AD$506,MATCH(L279,Journal!$AI$7:$AI$506,0)))</f>
        <v/>
      </c>
      <c r="Q279" s="34" t="n">
        <f aca="false">IF(L279&gt;$B$6,Q278,Q278+O279)</f>
        <v>20000</v>
      </c>
      <c r="R279" s="34" t="str">
        <f aca="false">IF(L279&gt;$B$6,"",Q279-MAX($Q$5:Q279))</f>
        <v/>
      </c>
    </row>
    <row r="280" customFormat="false" ht="15" hidden="false" customHeight="false" outlineLevel="0" collapsed="false">
      <c r="L280" s="0" t="n">
        <v>275</v>
      </c>
      <c r="M280" s="37" t="str">
        <f aca="false">IF(L280&gt;$B$6,"",INDEX(Journal!$P$7:$P$506,MATCH(L280,Journal!$AI$7:$AI$506,0)))</f>
        <v/>
      </c>
      <c r="N280" s="0" t="str">
        <f aca="false">IF(L280&gt;$B$6,"",INDEX(Journal!$A$7:$A$506,MATCH(L280,Journal!$AI$7:$AI$506,0)))</f>
        <v/>
      </c>
      <c r="O280" s="34" t="str">
        <f aca="false">IF(L280&gt;$B$6,"",INDEX(Journal!$AC$7:$AC$506,MATCH(L280,Journal!$AI$7:$AI$506,0)))</f>
        <v/>
      </c>
      <c r="P280" s="35" t="str">
        <f aca="false">IF(L280&gt;$B$6,"",INDEX(Journal!$AD$7:$AD$506,MATCH(L280,Journal!$AI$7:$AI$506,0)))</f>
        <v/>
      </c>
      <c r="Q280" s="34" t="n">
        <f aca="false">IF(L280&gt;$B$6,Q279,Q279+O280)</f>
        <v>20000</v>
      </c>
      <c r="R280" s="34" t="str">
        <f aca="false">IF(L280&gt;$B$6,"",Q280-MAX($Q$5:Q280))</f>
        <v/>
      </c>
    </row>
    <row r="281" customFormat="false" ht="15" hidden="false" customHeight="false" outlineLevel="0" collapsed="false">
      <c r="L281" s="0" t="n">
        <v>276</v>
      </c>
      <c r="M281" s="37" t="str">
        <f aca="false">IF(L281&gt;$B$6,"",INDEX(Journal!$P$7:$P$506,MATCH(L281,Journal!$AI$7:$AI$506,0)))</f>
        <v/>
      </c>
      <c r="N281" s="0" t="str">
        <f aca="false">IF(L281&gt;$B$6,"",INDEX(Journal!$A$7:$A$506,MATCH(L281,Journal!$AI$7:$AI$506,0)))</f>
        <v/>
      </c>
      <c r="O281" s="34" t="str">
        <f aca="false">IF(L281&gt;$B$6,"",INDEX(Journal!$AC$7:$AC$506,MATCH(L281,Journal!$AI$7:$AI$506,0)))</f>
        <v/>
      </c>
      <c r="P281" s="35" t="str">
        <f aca="false">IF(L281&gt;$B$6,"",INDEX(Journal!$AD$7:$AD$506,MATCH(L281,Journal!$AI$7:$AI$506,0)))</f>
        <v/>
      </c>
      <c r="Q281" s="34" t="n">
        <f aca="false">IF(L281&gt;$B$6,Q280,Q280+O281)</f>
        <v>20000</v>
      </c>
      <c r="R281" s="34" t="str">
        <f aca="false">IF(L281&gt;$B$6,"",Q281-MAX($Q$5:Q281))</f>
        <v/>
      </c>
    </row>
    <row r="282" customFormat="false" ht="15" hidden="false" customHeight="false" outlineLevel="0" collapsed="false">
      <c r="L282" s="0" t="n">
        <v>277</v>
      </c>
      <c r="M282" s="37" t="str">
        <f aca="false">IF(L282&gt;$B$6,"",INDEX(Journal!$P$7:$P$506,MATCH(L282,Journal!$AI$7:$AI$506,0)))</f>
        <v/>
      </c>
      <c r="N282" s="0" t="str">
        <f aca="false">IF(L282&gt;$B$6,"",INDEX(Journal!$A$7:$A$506,MATCH(L282,Journal!$AI$7:$AI$506,0)))</f>
        <v/>
      </c>
      <c r="O282" s="34" t="str">
        <f aca="false">IF(L282&gt;$B$6,"",INDEX(Journal!$AC$7:$AC$506,MATCH(L282,Journal!$AI$7:$AI$506,0)))</f>
        <v/>
      </c>
      <c r="P282" s="35" t="str">
        <f aca="false">IF(L282&gt;$B$6,"",INDEX(Journal!$AD$7:$AD$506,MATCH(L282,Journal!$AI$7:$AI$506,0)))</f>
        <v/>
      </c>
      <c r="Q282" s="34" t="n">
        <f aca="false">IF(L282&gt;$B$6,Q281,Q281+O282)</f>
        <v>20000</v>
      </c>
      <c r="R282" s="34" t="str">
        <f aca="false">IF(L282&gt;$B$6,"",Q282-MAX($Q$5:Q282))</f>
        <v/>
      </c>
    </row>
    <row r="283" customFormat="false" ht="15" hidden="false" customHeight="false" outlineLevel="0" collapsed="false">
      <c r="L283" s="0" t="n">
        <v>278</v>
      </c>
      <c r="M283" s="37" t="str">
        <f aca="false">IF(L283&gt;$B$6,"",INDEX(Journal!$P$7:$P$506,MATCH(L283,Journal!$AI$7:$AI$506,0)))</f>
        <v/>
      </c>
      <c r="N283" s="0" t="str">
        <f aca="false">IF(L283&gt;$B$6,"",INDEX(Journal!$A$7:$A$506,MATCH(L283,Journal!$AI$7:$AI$506,0)))</f>
        <v/>
      </c>
      <c r="O283" s="34" t="str">
        <f aca="false">IF(L283&gt;$B$6,"",INDEX(Journal!$AC$7:$AC$506,MATCH(L283,Journal!$AI$7:$AI$506,0)))</f>
        <v/>
      </c>
      <c r="P283" s="35" t="str">
        <f aca="false">IF(L283&gt;$B$6,"",INDEX(Journal!$AD$7:$AD$506,MATCH(L283,Journal!$AI$7:$AI$506,0)))</f>
        <v/>
      </c>
      <c r="Q283" s="34" t="n">
        <f aca="false">IF(L283&gt;$B$6,Q282,Q282+O283)</f>
        <v>20000</v>
      </c>
      <c r="R283" s="34" t="str">
        <f aca="false">IF(L283&gt;$B$6,"",Q283-MAX($Q$5:Q283))</f>
        <v/>
      </c>
    </row>
    <row r="284" customFormat="false" ht="15" hidden="false" customHeight="false" outlineLevel="0" collapsed="false">
      <c r="L284" s="0" t="n">
        <v>279</v>
      </c>
      <c r="M284" s="37" t="str">
        <f aca="false">IF(L284&gt;$B$6,"",INDEX(Journal!$P$7:$P$506,MATCH(L284,Journal!$AI$7:$AI$506,0)))</f>
        <v/>
      </c>
      <c r="N284" s="0" t="str">
        <f aca="false">IF(L284&gt;$B$6,"",INDEX(Journal!$A$7:$A$506,MATCH(L284,Journal!$AI$7:$AI$506,0)))</f>
        <v/>
      </c>
      <c r="O284" s="34" t="str">
        <f aca="false">IF(L284&gt;$B$6,"",INDEX(Journal!$AC$7:$AC$506,MATCH(L284,Journal!$AI$7:$AI$506,0)))</f>
        <v/>
      </c>
      <c r="P284" s="35" t="str">
        <f aca="false">IF(L284&gt;$B$6,"",INDEX(Journal!$AD$7:$AD$506,MATCH(L284,Journal!$AI$7:$AI$506,0)))</f>
        <v/>
      </c>
      <c r="Q284" s="34" t="n">
        <f aca="false">IF(L284&gt;$B$6,Q283,Q283+O284)</f>
        <v>20000</v>
      </c>
      <c r="R284" s="34" t="str">
        <f aca="false">IF(L284&gt;$B$6,"",Q284-MAX($Q$5:Q284))</f>
        <v/>
      </c>
    </row>
    <row r="285" customFormat="false" ht="15" hidden="false" customHeight="false" outlineLevel="0" collapsed="false">
      <c r="L285" s="0" t="n">
        <v>280</v>
      </c>
      <c r="M285" s="37" t="str">
        <f aca="false">IF(L285&gt;$B$6,"",INDEX(Journal!$P$7:$P$506,MATCH(L285,Journal!$AI$7:$AI$506,0)))</f>
        <v/>
      </c>
      <c r="N285" s="0" t="str">
        <f aca="false">IF(L285&gt;$B$6,"",INDEX(Journal!$A$7:$A$506,MATCH(L285,Journal!$AI$7:$AI$506,0)))</f>
        <v/>
      </c>
      <c r="O285" s="34" t="str">
        <f aca="false">IF(L285&gt;$B$6,"",INDEX(Journal!$AC$7:$AC$506,MATCH(L285,Journal!$AI$7:$AI$506,0)))</f>
        <v/>
      </c>
      <c r="P285" s="35" t="str">
        <f aca="false">IF(L285&gt;$B$6,"",INDEX(Journal!$AD$7:$AD$506,MATCH(L285,Journal!$AI$7:$AI$506,0)))</f>
        <v/>
      </c>
      <c r="Q285" s="34" t="n">
        <f aca="false">IF(L285&gt;$B$6,Q284,Q284+O285)</f>
        <v>20000</v>
      </c>
      <c r="R285" s="34" t="str">
        <f aca="false">IF(L285&gt;$B$6,"",Q285-MAX($Q$5:Q285))</f>
        <v/>
      </c>
    </row>
    <row r="286" customFormat="false" ht="15" hidden="false" customHeight="false" outlineLevel="0" collapsed="false">
      <c r="L286" s="0" t="n">
        <v>281</v>
      </c>
      <c r="M286" s="37" t="str">
        <f aca="false">IF(L286&gt;$B$6,"",INDEX(Journal!$P$7:$P$506,MATCH(L286,Journal!$AI$7:$AI$506,0)))</f>
        <v/>
      </c>
      <c r="N286" s="0" t="str">
        <f aca="false">IF(L286&gt;$B$6,"",INDEX(Journal!$A$7:$A$506,MATCH(L286,Journal!$AI$7:$AI$506,0)))</f>
        <v/>
      </c>
      <c r="O286" s="34" t="str">
        <f aca="false">IF(L286&gt;$B$6,"",INDEX(Journal!$AC$7:$AC$506,MATCH(L286,Journal!$AI$7:$AI$506,0)))</f>
        <v/>
      </c>
      <c r="P286" s="35" t="str">
        <f aca="false">IF(L286&gt;$B$6,"",INDEX(Journal!$AD$7:$AD$506,MATCH(L286,Journal!$AI$7:$AI$506,0)))</f>
        <v/>
      </c>
      <c r="Q286" s="34" t="n">
        <f aca="false">IF(L286&gt;$B$6,Q285,Q285+O286)</f>
        <v>20000</v>
      </c>
      <c r="R286" s="34" t="str">
        <f aca="false">IF(L286&gt;$B$6,"",Q286-MAX($Q$5:Q286))</f>
        <v/>
      </c>
    </row>
    <row r="287" customFormat="false" ht="15" hidden="false" customHeight="false" outlineLevel="0" collapsed="false">
      <c r="L287" s="0" t="n">
        <v>282</v>
      </c>
      <c r="M287" s="37" t="str">
        <f aca="false">IF(L287&gt;$B$6,"",INDEX(Journal!$P$7:$P$506,MATCH(L287,Journal!$AI$7:$AI$506,0)))</f>
        <v/>
      </c>
      <c r="N287" s="0" t="str">
        <f aca="false">IF(L287&gt;$B$6,"",INDEX(Journal!$A$7:$A$506,MATCH(L287,Journal!$AI$7:$AI$506,0)))</f>
        <v/>
      </c>
      <c r="O287" s="34" t="str">
        <f aca="false">IF(L287&gt;$B$6,"",INDEX(Journal!$AC$7:$AC$506,MATCH(L287,Journal!$AI$7:$AI$506,0)))</f>
        <v/>
      </c>
      <c r="P287" s="35" t="str">
        <f aca="false">IF(L287&gt;$B$6,"",INDEX(Journal!$AD$7:$AD$506,MATCH(L287,Journal!$AI$7:$AI$506,0)))</f>
        <v/>
      </c>
      <c r="Q287" s="34" t="n">
        <f aca="false">IF(L287&gt;$B$6,Q286,Q286+O287)</f>
        <v>20000</v>
      </c>
      <c r="R287" s="34" t="str">
        <f aca="false">IF(L287&gt;$B$6,"",Q287-MAX($Q$5:Q287))</f>
        <v/>
      </c>
    </row>
    <row r="288" customFormat="false" ht="15" hidden="false" customHeight="false" outlineLevel="0" collapsed="false">
      <c r="L288" s="0" t="n">
        <v>283</v>
      </c>
      <c r="M288" s="37" t="str">
        <f aca="false">IF(L288&gt;$B$6,"",INDEX(Journal!$P$7:$P$506,MATCH(L288,Journal!$AI$7:$AI$506,0)))</f>
        <v/>
      </c>
      <c r="N288" s="0" t="str">
        <f aca="false">IF(L288&gt;$B$6,"",INDEX(Journal!$A$7:$A$506,MATCH(L288,Journal!$AI$7:$AI$506,0)))</f>
        <v/>
      </c>
      <c r="O288" s="34" t="str">
        <f aca="false">IF(L288&gt;$B$6,"",INDEX(Journal!$AC$7:$AC$506,MATCH(L288,Journal!$AI$7:$AI$506,0)))</f>
        <v/>
      </c>
      <c r="P288" s="35" t="str">
        <f aca="false">IF(L288&gt;$B$6,"",INDEX(Journal!$AD$7:$AD$506,MATCH(L288,Journal!$AI$7:$AI$506,0)))</f>
        <v/>
      </c>
      <c r="Q288" s="34" t="n">
        <f aca="false">IF(L288&gt;$B$6,Q287,Q287+O288)</f>
        <v>20000</v>
      </c>
      <c r="R288" s="34" t="str">
        <f aca="false">IF(L288&gt;$B$6,"",Q288-MAX($Q$5:Q288))</f>
        <v/>
      </c>
    </row>
    <row r="289" customFormat="false" ht="15" hidden="false" customHeight="false" outlineLevel="0" collapsed="false">
      <c r="L289" s="0" t="n">
        <v>284</v>
      </c>
      <c r="M289" s="37" t="str">
        <f aca="false">IF(L289&gt;$B$6,"",INDEX(Journal!$P$7:$P$506,MATCH(L289,Journal!$AI$7:$AI$506,0)))</f>
        <v/>
      </c>
      <c r="N289" s="0" t="str">
        <f aca="false">IF(L289&gt;$B$6,"",INDEX(Journal!$A$7:$A$506,MATCH(L289,Journal!$AI$7:$AI$506,0)))</f>
        <v/>
      </c>
      <c r="O289" s="34" t="str">
        <f aca="false">IF(L289&gt;$B$6,"",INDEX(Journal!$AC$7:$AC$506,MATCH(L289,Journal!$AI$7:$AI$506,0)))</f>
        <v/>
      </c>
      <c r="P289" s="35" t="str">
        <f aca="false">IF(L289&gt;$B$6,"",INDEX(Journal!$AD$7:$AD$506,MATCH(L289,Journal!$AI$7:$AI$506,0)))</f>
        <v/>
      </c>
      <c r="Q289" s="34" t="n">
        <f aca="false">IF(L289&gt;$B$6,Q288,Q288+O289)</f>
        <v>20000</v>
      </c>
      <c r="R289" s="34" t="str">
        <f aca="false">IF(L289&gt;$B$6,"",Q289-MAX($Q$5:Q289))</f>
        <v/>
      </c>
    </row>
    <row r="290" customFormat="false" ht="15" hidden="false" customHeight="false" outlineLevel="0" collapsed="false">
      <c r="L290" s="0" t="n">
        <v>285</v>
      </c>
      <c r="M290" s="37" t="str">
        <f aca="false">IF(L290&gt;$B$6,"",INDEX(Journal!$P$7:$P$506,MATCH(L290,Journal!$AI$7:$AI$506,0)))</f>
        <v/>
      </c>
      <c r="N290" s="0" t="str">
        <f aca="false">IF(L290&gt;$B$6,"",INDEX(Journal!$A$7:$A$506,MATCH(L290,Journal!$AI$7:$AI$506,0)))</f>
        <v/>
      </c>
      <c r="O290" s="34" t="str">
        <f aca="false">IF(L290&gt;$B$6,"",INDEX(Journal!$AC$7:$AC$506,MATCH(L290,Journal!$AI$7:$AI$506,0)))</f>
        <v/>
      </c>
      <c r="P290" s="35" t="str">
        <f aca="false">IF(L290&gt;$B$6,"",INDEX(Journal!$AD$7:$AD$506,MATCH(L290,Journal!$AI$7:$AI$506,0)))</f>
        <v/>
      </c>
      <c r="Q290" s="34" t="n">
        <f aca="false">IF(L290&gt;$B$6,Q289,Q289+O290)</f>
        <v>20000</v>
      </c>
      <c r="R290" s="34" t="str">
        <f aca="false">IF(L290&gt;$B$6,"",Q290-MAX($Q$5:Q290))</f>
        <v/>
      </c>
    </row>
    <row r="291" customFormat="false" ht="15" hidden="false" customHeight="false" outlineLevel="0" collapsed="false">
      <c r="L291" s="0" t="n">
        <v>286</v>
      </c>
      <c r="M291" s="37" t="str">
        <f aca="false">IF(L291&gt;$B$6,"",INDEX(Journal!$P$7:$P$506,MATCH(L291,Journal!$AI$7:$AI$506,0)))</f>
        <v/>
      </c>
      <c r="N291" s="0" t="str">
        <f aca="false">IF(L291&gt;$B$6,"",INDEX(Journal!$A$7:$A$506,MATCH(L291,Journal!$AI$7:$AI$506,0)))</f>
        <v/>
      </c>
      <c r="O291" s="34" t="str">
        <f aca="false">IF(L291&gt;$B$6,"",INDEX(Journal!$AC$7:$AC$506,MATCH(L291,Journal!$AI$7:$AI$506,0)))</f>
        <v/>
      </c>
      <c r="P291" s="35" t="str">
        <f aca="false">IF(L291&gt;$B$6,"",INDEX(Journal!$AD$7:$AD$506,MATCH(L291,Journal!$AI$7:$AI$506,0)))</f>
        <v/>
      </c>
      <c r="Q291" s="34" t="n">
        <f aca="false">IF(L291&gt;$B$6,Q290,Q290+O291)</f>
        <v>20000</v>
      </c>
      <c r="R291" s="34" t="str">
        <f aca="false">IF(L291&gt;$B$6,"",Q291-MAX($Q$5:Q291))</f>
        <v/>
      </c>
    </row>
    <row r="292" customFormat="false" ht="15" hidden="false" customHeight="false" outlineLevel="0" collapsed="false">
      <c r="L292" s="0" t="n">
        <v>287</v>
      </c>
      <c r="M292" s="37" t="str">
        <f aca="false">IF(L292&gt;$B$6,"",INDEX(Journal!$P$7:$P$506,MATCH(L292,Journal!$AI$7:$AI$506,0)))</f>
        <v/>
      </c>
      <c r="N292" s="0" t="str">
        <f aca="false">IF(L292&gt;$B$6,"",INDEX(Journal!$A$7:$A$506,MATCH(L292,Journal!$AI$7:$AI$506,0)))</f>
        <v/>
      </c>
      <c r="O292" s="34" t="str">
        <f aca="false">IF(L292&gt;$B$6,"",INDEX(Journal!$AC$7:$AC$506,MATCH(L292,Journal!$AI$7:$AI$506,0)))</f>
        <v/>
      </c>
      <c r="P292" s="35" t="str">
        <f aca="false">IF(L292&gt;$B$6,"",INDEX(Journal!$AD$7:$AD$506,MATCH(L292,Journal!$AI$7:$AI$506,0)))</f>
        <v/>
      </c>
      <c r="Q292" s="34" t="n">
        <f aca="false">IF(L292&gt;$B$6,Q291,Q291+O292)</f>
        <v>20000</v>
      </c>
      <c r="R292" s="34" t="str">
        <f aca="false">IF(L292&gt;$B$6,"",Q292-MAX($Q$5:Q292))</f>
        <v/>
      </c>
    </row>
    <row r="293" customFormat="false" ht="15" hidden="false" customHeight="false" outlineLevel="0" collapsed="false">
      <c r="L293" s="0" t="n">
        <v>288</v>
      </c>
      <c r="M293" s="37" t="str">
        <f aca="false">IF(L293&gt;$B$6,"",INDEX(Journal!$P$7:$P$506,MATCH(L293,Journal!$AI$7:$AI$506,0)))</f>
        <v/>
      </c>
      <c r="N293" s="0" t="str">
        <f aca="false">IF(L293&gt;$B$6,"",INDEX(Journal!$A$7:$A$506,MATCH(L293,Journal!$AI$7:$AI$506,0)))</f>
        <v/>
      </c>
      <c r="O293" s="34" t="str">
        <f aca="false">IF(L293&gt;$B$6,"",INDEX(Journal!$AC$7:$AC$506,MATCH(L293,Journal!$AI$7:$AI$506,0)))</f>
        <v/>
      </c>
      <c r="P293" s="35" t="str">
        <f aca="false">IF(L293&gt;$B$6,"",INDEX(Journal!$AD$7:$AD$506,MATCH(L293,Journal!$AI$7:$AI$506,0)))</f>
        <v/>
      </c>
      <c r="Q293" s="34" t="n">
        <f aca="false">IF(L293&gt;$B$6,Q292,Q292+O293)</f>
        <v>20000</v>
      </c>
      <c r="R293" s="34" t="str">
        <f aca="false">IF(L293&gt;$B$6,"",Q293-MAX($Q$5:Q293))</f>
        <v/>
      </c>
    </row>
    <row r="294" customFormat="false" ht="15" hidden="false" customHeight="false" outlineLevel="0" collapsed="false">
      <c r="L294" s="0" t="n">
        <v>289</v>
      </c>
      <c r="M294" s="37" t="str">
        <f aca="false">IF(L294&gt;$B$6,"",INDEX(Journal!$P$7:$P$506,MATCH(L294,Journal!$AI$7:$AI$506,0)))</f>
        <v/>
      </c>
      <c r="N294" s="0" t="str">
        <f aca="false">IF(L294&gt;$B$6,"",INDEX(Journal!$A$7:$A$506,MATCH(L294,Journal!$AI$7:$AI$506,0)))</f>
        <v/>
      </c>
      <c r="O294" s="34" t="str">
        <f aca="false">IF(L294&gt;$B$6,"",INDEX(Journal!$AC$7:$AC$506,MATCH(L294,Journal!$AI$7:$AI$506,0)))</f>
        <v/>
      </c>
      <c r="P294" s="35" t="str">
        <f aca="false">IF(L294&gt;$B$6,"",INDEX(Journal!$AD$7:$AD$506,MATCH(L294,Journal!$AI$7:$AI$506,0)))</f>
        <v/>
      </c>
      <c r="Q294" s="34" t="n">
        <f aca="false">IF(L294&gt;$B$6,Q293,Q293+O294)</f>
        <v>20000</v>
      </c>
      <c r="R294" s="34" t="str">
        <f aca="false">IF(L294&gt;$B$6,"",Q294-MAX($Q$5:Q294))</f>
        <v/>
      </c>
    </row>
    <row r="295" customFormat="false" ht="15" hidden="false" customHeight="false" outlineLevel="0" collapsed="false">
      <c r="L295" s="0" t="n">
        <v>290</v>
      </c>
      <c r="M295" s="37" t="str">
        <f aca="false">IF(L295&gt;$B$6,"",INDEX(Journal!$P$7:$P$506,MATCH(L295,Journal!$AI$7:$AI$506,0)))</f>
        <v/>
      </c>
      <c r="N295" s="0" t="str">
        <f aca="false">IF(L295&gt;$B$6,"",INDEX(Journal!$A$7:$A$506,MATCH(L295,Journal!$AI$7:$AI$506,0)))</f>
        <v/>
      </c>
      <c r="O295" s="34" t="str">
        <f aca="false">IF(L295&gt;$B$6,"",INDEX(Journal!$AC$7:$AC$506,MATCH(L295,Journal!$AI$7:$AI$506,0)))</f>
        <v/>
      </c>
      <c r="P295" s="35" t="str">
        <f aca="false">IF(L295&gt;$B$6,"",INDEX(Journal!$AD$7:$AD$506,MATCH(L295,Journal!$AI$7:$AI$506,0)))</f>
        <v/>
      </c>
      <c r="Q295" s="34" t="n">
        <f aca="false">IF(L295&gt;$B$6,Q294,Q294+O295)</f>
        <v>20000</v>
      </c>
      <c r="R295" s="34" t="str">
        <f aca="false">IF(L295&gt;$B$6,"",Q295-MAX($Q$5:Q295))</f>
        <v/>
      </c>
    </row>
    <row r="296" customFormat="false" ht="15" hidden="false" customHeight="false" outlineLevel="0" collapsed="false">
      <c r="L296" s="0" t="n">
        <v>291</v>
      </c>
      <c r="M296" s="37" t="str">
        <f aca="false">IF(L296&gt;$B$6,"",INDEX(Journal!$P$7:$P$506,MATCH(L296,Journal!$AI$7:$AI$506,0)))</f>
        <v/>
      </c>
      <c r="N296" s="0" t="str">
        <f aca="false">IF(L296&gt;$B$6,"",INDEX(Journal!$A$7:$A$506,MATCH(L296,Journal!$AI$7:$AI$506,0)))</f>
        <v/>
      </c>
      <c r="O296" s="34" t="str">
        <f aca="false">IF(L296&gt;$B$6,"",INDEX(Journal!$AC$7:$AC$506,MATCH(L296,Journal!$AI$7:$AI$506,0)))</f>
        <v/>
      </c>
      <c r="P296" s="35" t="str">
        <f aca="false">IF(L296&gt;$B$6,"",INDEX(Journal!$AD$7:$AD$506,MATCH(L296,Journal!$AI$7:$AI$506,0)))</f>
        <v/>
      </c>
      <c r="Q296" s="34" t="n">
        <f aca="false">IF(L296&gt;$B$6,Q295,Q295+O296)</f>
        <v>20000</v>
      </c>
      <c r="R296" s="34" t="str">
        <f aca="false">IF(L296&gt;$B$6,"",Q296-MAX($Q$5:Q296))</f>
        <v/>
      </c>
    </row>
    <row r="297" customFormat="false" ht="15" hidden="false" customHeight="false" outlineLevel="0" collapsed="false">
      <c r="L297" s="0" t="n">
        <v>292</v>
      </c>
      <c r="M297" s="37" t="str">
        <f aca="false">IF(L297&gt;$B$6,"",INDEX(Journal!$P$7:$P$506,MATCH(L297,Journal!$AI$7:$AI$506,0)))</f>
        <v/>
      </c>
      <c r="N297" s="0" t="str">
        <f aca="false">IF(L297&gt;$B$6,"",INDEX(Journal!$A$7:$A$506,MATCH(L297,Journal!$AI$7:$AI$506,0)))</f>
        <v/>
      </c>
      <c r="O297" s="34" t="str">
        <f aca="false">IF(L297&gt;$B$6,"",INDEX(Journal!$AC$7:$AC$506,MATCH(L297,Journal!$AI$7:$AI$506,0)))</f>
        <v/>
      </c>
      <c r="P297" s="35" t="str">
        <f aca="false">IF(L297&gt;$B$6,"",INDEX(Journal!$AD$7:$AD$506,MATCH(L297,Journal!$AI$7:$AI$506,0)))</f>
        <v/>
      </c>
      <c r="Q297" s="34" t="n">
        <f aca="false">IF(L297&gt;$B$6,Q296,Q296+O297)</f>
        <v>20000</v>
      </c>
      <c r="R297" s="34" t="str">
        <f aca="false">IF(L297&gt;$B$6,"",Q297-MAX($Q$5:Q297))</f>
        <v/>
      </c>
    </row>
    <row r="298" customFormat="false" ht="15" hidden="false" customHeight="false" outlineLevel="0" collapsed="false">
      <c r="L298" s="0" t="n">
        <v>293</v>
      </c>
      <c r="M298" s="37" t="str">
        <f aca="false">IF(L298&gt;$B$6,"",INDEX(Journal!$P$7:$P$506,MATCH(L298,Journal!$AI$7:$AI$506,0)))</f>
        <v/>
      </c>
      <c r="N298" s="0" t="str">
        <f aca="false">IF(L298&gt;$B$6,"",INDEX(Journal!$A$7:$A$506,MATCH(L298,Journal!$AI$7:$AI$506,0)))</f>
        <v/>
      </c>
      <c r="O298" s="34" t="str">
        <f aca="false">IF(L298&gt;$B$6,"",INDEX(Journal!$AC$7:$AC$506,MATCH(L298,Journal!$AI$7:$AI$506,0)))</f>
        <v/>
      </c>
      <c r="P298" s="35" t="str">
        <f aca="false">IF(L298&gt;$B$6,"",INDEX(Journal!$AD$7:$AD$506,MATCH(L298,Journal!$AI$7:$AI$506,0)))</f>
        <v/>
      </c>
      <c r="Q298" s="34" t="n">
        <f aca="false">IF(L298&gt;$B$6,Q297,Q297+O298)</f>
        <v>20000</v>
      </c>
      <c r="R298" s="34" t="str">
        <f aca="false">IF(L298&gt;$B$6,"",Q298-MAX($Q$5:Q298))</f>
        <v/>
      </c>
    </row>
    <row r="299" customFormat="false" ht="15" hidden="false" customHeight="false" outlineLevel="0" collapsed="false">
      <c r="L299" s="0" t="n">
        <v>294</v>
      </c>
      <c r="M299" s="37" t="str">
        <f aca="false">IF(L299&gt;$B$6,"",INDEX(Journal!$P$7:$P$506,MATCH(L299,Journal!$AI$7:$AI$506,0)))</f>
        <v/>
      </c>
      <c r="N299" s="0" t="str">
        <f aca="false">IF(L299&gt;$B$6,"",INDEX(Journal!$A$7:$A$506,MATCH(L299,Journal!$AI$7:$AI$506,0)))</f>
        <v/>
      </c>
      <c r="O299" s="34" t="str">
        <f aca="false">IF(L299&gt;$B$6,"",INDEX(Journal!$AC$7:$AC$506,MATCH(L299,Journal!$AI$7:$AI$506,0)))</f>
        <v/>
      </c>
      <c r="P299" s="35" t="str">
        <f aca="false">IF(L299&gt;$B$6,"",INDEX(Journal!$AD$7:$AD$506,MATCH(L299,Journal!$AI$7:$AI$506,0)))</f>
        <v/>
      </c>
      <c r="Q299" s="34" t="n">
        <f aca="false">IF(L299&gt;$B$6,Q298,Q298+O299)</f>
        <v>20000</v>
      </c>
      <c r="R299" s="34" t="str">
        <f aca="false">IF(L299&gt;$B$6,"",Q299-MAX($Q$5:Q299))</f>
        <v/>
      </c>
    </row>
    <row r="300" customFormat="false" ht="15" hidden="false" customHeight="false" outlineLevel="0" collapsed="false">
      <c r="L300" s="0" t="n">
        <v>295</v>
      </c>
      <c r="M300" s="37" t="str">
        <f aca="false">IF(L300&gt;$B$6,"",INDEX(Journal!$P$7:$P$506,MATCH(L300,Journal!$AI$7:$AI$506,0)))</f>
        <v/>
      </c>
      <c r="N300" s="0" t="str">
        <f aca="false">IF(L300&gt;$B$6,"",INDEX(Journal!$A$7:$A$506,MATCH(L300,Journal!$AI$7:$AI$506,0)))</f>
        <v/>
      </c>
      <c r="O300" s="34" t="str">
        <f aca="false">IF(L300&gt;$B$6,"",INDEX(Journal!$AC$7:$AC$506,MATCH(L300,Journal!$AI$7:$AI$506,0)))</f>
        <v/>
      </c>
      <c r="P300" s="35" t="str">
        <f aca="false">IF(L300&gt;$B$6,"",INDEX(Journal!$AD$7:$AD$506,MATCH(L300,Journal!$AI$7:$AI$506,0)))</f>
        <v/>
      </c>
      <c r="Q300" s="34" t="n">
        <f aca="false">IF(L300&gt;$B$6,Q299,Q299+O300)</f>
        <v>20000</v>
      </c>
      <c r="R300" s="34" t="str">
        <f aca="false">IF(L300&gt;$B$6,"",Q300-MAX($Q$5:Q300))</f>
        <v/>
      </c>
    </row>
    <row r="301" customFormat="false" ht="15" hidden="false" customHeight="false" outlineLevel="0" collapsed="false">
      <c r="L301" s="0" t="n">
        <v>296</v>
      </c>
      <c r="M301" s="37" t="str">
        <f aca="false">IF(L301&gt;$B$6,"",INDEX(Journal!$P$7:$P$506,MATCH(L301,Journal!$AI$7:$AI$506,0)))</f>
        <v/>
      </c>
      <c r="N301" s="0" t="str">
        <f aca="false">IF(L301&gt;$B$6,"",INDEX(Journal!$A$7:$A$506,MATCH(L301,Journal!$AI$7:$AI$506,0)))</f>
        <v/>
      </c>
      <c r="O301" s="34" t="str">
        <f aca="false">IF(L301&gt;$B$6,"",INDEX(Journal!$AC$7:$AC$506,MATCH(L301,Journal!$AI$7:$AI$506,0)))</f>
        <v/>
      </c>
      <c r="P301" s="35" t="str">
        <f aca="false">IF(L301&gt;$B$6,"",INDEX(Journal!$AD$7:$AD$506,MATCH(L301,Journal!$AI$7:$AI$506,0)))</f>
        <v/>
      </c>
      <c r="Q301" s="34" t="n">
        <f aca="false">IF(L301&gt;$B$6,Q300,Q300+O301)</f>
        <v>20000</v>
      </c>
      <c r="R301" s="34" t="str">
        <f aca="false">IF(L301&gt;$B$6,"",Q301-MAX($Q$5:Q301))</f>
        <v/>
      </c>
    </row>
    <row r="302" customFormat="false" ht="15" hidden="false" customHeight="false" outlineLevel="0" collapsed="false">
      <c r="L302" s="0" t="n">
        <v>297</v>
      </c>
      <c r="M302" s="37" t="str">
        <f aca="false">IF(L302&gt;$B$6,"",INDEX(Journal!$P$7:$P$506,MATCH(L302,Journal!$AI$7:$AI$506,0)))</f>
        <v/>
      </c>
      <c r="N302" s="0" t="str">
        <f aca="false">IF(L302&gt;$B$6,"",INDEX(Journal!$A$7:$A$506,MATCH(L302,Journal!$AI$7:$AI$506,0)))</f>
        <v/>
      </c>
      <c r="O302" s="34" t="str">
        <f aca="false">IF(L302&gt;$B$6,"",INDEX(Journal!$AC$7:$AC$506,MATCH(L302,Journal!$AI$7:$AI$506,0)))</f>
        <v/>
      </c>
      <c r="P302" s="35" t="str">
        <f aca="false">IF(L302&gt;$B$6,"",INDEX(Journal!$AD$7:$AD$506,MATCH(L302,Journal!$AI$7:$AI$506,0)))</f>
        <v/>
      </c>
      <c r="Q302" s="34" t="n">
        <f aca="false">IF(L302&gt;$B$6,Q301,Q301+O302)</f>
        <v>20000</v>
      </c>
      <c r="R302" s="34" t="str">
        <f aca="false">IF(L302&gt;$B$6,"",Q302-MAX($Q$5:Q302))</f>
        <v/>
      </c>
    </row>
    <row r="303" customFormat="false" ht="15" hidden="false" customHeight="false" outlineLevel="0" collapsed="false">
      <c r="L303" s="0" t="n">
        <v>298</v>
      </c>
      <c r="M303" s="37" t="str">
        <f aca="false">IF(L303&gt;$B$6,"",INDEX(Journal!$P$7:$P$506,MATCH(L303,Journal!$AI$7:$AI$506,0)))</f>
        <v/>
      </c>
      <c r="N303" s="0" t="str">
        <f aca="false">IF(L303&gt;$B$6,"",INDEX(Journal!$A$7:$A$506,MATCH(L303,Journal!$AI$7:$AI$506,0)))</f>
        <v/>
      </c>
      <c r="O303" s="34" t="str">
        <f aca="false">IF(L303&gt;$B$6,"",INDEX(Journal!$AC$7:$AC$506,MATCH(L303,Journal!$AI$7:$AI$506,0)))</f>
        <v/>
      </c>
      <c r="P303" s="35" t="str">
        <f aca="false">IF(L303&gt;$B$6,"",INDEX(Journal!$AD$7:$AD$506,MATCH(L303,Journal!$AI$7:$AI$506,0)))</f>
        <v/>
      </c>
      <c r="Q303" s="34" t="n">
        <f aca="false">IF(L303&gt;$B$6,Q302,Q302+O303)</f>
        <v>20000</v>
      </c>
      <c r="R303" s="34" t="str">
        <f aca="false">IF(L303&gt;$B$6,"",Q303-MAX($Q$5:Q303))</f>
        <v/>
      </c>
    </row>
    <row r="304" customFormat="false" ht="15" hidden="false" customHeight="false" outlineLevel="0" collapsed="false">
      <c r="L304" s="0" t="n">
        <v>299</v>
      </c>
      <c r="M304" s="37" t="str">
        <f aca="false">IF(L304&gt;$B$6,"",INDEX(Journal!$P$7:$P$506,MATCH(L304,Journal!$AI$7:$AI$506,0)))</f>
        <v/>
      </c>
      <c r="N304" s="0" t="str">
        <f aca="false">IF(L304&gt;$B$6,"",INDEX(Journal!$A$7:$A$506,MATCH(L304,Journal!$AI$7:$AI$506,0)))</f>
        <v/>
      </c>
      <c r="O304" s="34" t="str">
        <f aca="false">IF(L304&gt;$B$6,"",INDEX(Journal!$AC$7:$AC$506,MATCH(L304,Journal!$AI$7:$AI$506,0)))</f>
        <v/>
      </c>
      <c r="P304" s="35" t="str">
        <f aca="false">IF(L304&gt;$B$6,"",INDEX(Journal!$AD$7:$AD$506,MATCH(L304,Journal!$AI$7:$AI$506,0)))</f>
        <v/>
      </c>
      <c r="Q304" s="34" t="n">
        <f aca="false">IF(L304&gt;$B$6,Q303,Q303+O304)</f>
        <v>20000</v>
      </c>
      <c r="R304" s="34" t="str">
        <f aca="false">IF(L304&gt;$B$6,"",Q304-MAX($Q$5:Q304))</f>
        <v/>
      </c>
    </row>
    <row r="305" customFormat="false" ht="15" hidden="false" customHeight="false" outlineLevel="0" collapsed="false">
      <c r="L305" s="0" t="n">
        <v>300</v>
      </c>
      <c r="M305" s="37" t="str">
        <f aca="false">IF(L305&gt;$B$6,"",INDEX(Journal!$P$7:$P$506,MATCH(L305,Journal!$AI$7:$AI$506,0)))</f>
        <v/>
      </c>
      <c r="N305" s="0" t="str">
        <f aca="false">IF(L305&gt;$B$6,"",INDEX(Journal!$A$7:$A$506,MATCH(L305,Journal!$AI$7:$AI$506,0)))</f>
        <v/>
      </c>
      <c r="O305" s="34" t="str">
        <f aca="false">IF(L305&gt;$B$6,"",INDEX(Journal!$AC$7:$AC$506,MATCH(L305,Journal!$AI$7:$AI$506,0)))</f>
        <v/>
      </c>
      <c r="P305" s="35" t="str">
        <f aca="false">IF(L305&gt;$B$6,"",INDEX(Journal!$AD$7:$AD$506,MATCH(L305,Journal!$AI$7:$AI$506,0)))</f>
        <v/>
      </c>
      <c r="Q305" s="34" t="n">
        <f aca="false">IF(L305&gt;$B$6,Q304,Q304+O305)</f>
        <v>20000</v>
      </c>
      <c r="R305" s="34" t="str">
        <f aca="false">IF(L305&gt;$B$6,"",Q305-MAX($Q$5:Q305))</f>
        <v/>
      </c>
    </row>
    <row r="306" customFormat="false" ht="15" hidden="false" customHeight="false" outlineLevel="0" collapsed="false">
      <c r="L306" s="0" t="n">
        <v>301</v>
      </c>
      <c r="M306" s="37" t="str">
        <f aca="false">IF(L306&gt;$B$6,"",INDEX(Journal!$P$7:$P$506,MATCH(L306,Journal!$AI$7:$AI$506,0)))</f>
        <v/>
      </c>
      <c r="N306" s="0" t="str">
        <f aca="false">IF(L306&gt;$B$6,"",INDEX(Journal!$A$7:$A$506,MATCH(L306,Journal!$AI$7:$AI$506,0)))</f>
        <v/>
      </c>
      <c r="O306" s="34" t="str">
        <f aca="false">IF(L306&gt;$B$6,"",INDEX(Journal!$AC$7:$AC$506,MATCH(L306,Journal!$AI$7:$AI$506,0)))</f>
        <v/>
      </c>
      <c r="P306" s="35" t="str">
        <f aca="false">IF(L306&gt;$B$6,"",INDEX(Journal!$AD$7:$AD$506,MATCH(L306,Journal!$AI$7:$AI$506,0)))</f>
        <v/>
      </c>
      <c r="Q306" s="34" t="n">
        <f aca="false">IF(L306&gt;$B$6,Q305,Q305+O306)</f>
        <v>20000</v>
      </c>
      <c r="R306" s="34" t="str">
        <f aca="false">IF(L306&gt;$B$6,"",Q306-MAX($Q$5:Q306))</f>
        <v/>
      </c>
    </row>
    <row r="307" customFormat="false" ht="15" hidden="false" customHeight="false" outlineLevel="0" collapsed="false">
      <c r="L307" s="0" t="n">
        <v>302</v>
      </c>
      <c r="M307" s="37" t="str">
        <f aca="false">IF(L307&gt;$B$6,"",INDEX(Journal!$P$7:$P$506,MATCH(L307,Journal!$AI$7:$AI$506,0)))</f>
        <v/>
      </c>
      <c r="N307" s="0" t="str">
        <f aca="false">IF(L307&gt;$B$6,"",INDEX(Journal!$A$7:$A$506,MATCH(L307,Journal!$AI$7:$AI$506,0)))</f>
        <v/>
      </c>
      <c r="O307" s="34" t="str">
        <f aca="false">IF(L307&gt;$B$6,"",INDEX(Journal!$AC$7:$AC$506,MATCH(L307,Journal!$AI$7:$AI$506,0)))</f>
        <v/>
      </c>
      <c r="P307" s="35" t="str">
        <f aca="false">IF(L307&gt;$B$6,"",INDEX(Journal!$AD$7:$AD$506,MATCH(L307,Journal!$AI$7:$AI$506,0)))</f>
        <v/>
      </c>
      <c r="Q307" s="34" t="n">
        <f aca="false">IF(L307&gt;$B$6,Q306,Q306+O307)</f>
        <v>20000</v>
      </c>
      <c r="R307" s="34" t="str">
        <f aca="false">IF(L307&gt;$B$6,"",Q307-MAX($Q$5:Q307))</f>
        <v/>
      </c>
    </row>
    <row r="308" customFormat="false" ht="15" hidden="false" customHeight="false" outlineLevel="0" collapsed="false">
      <c r="L308" s="0" t="n">
        <v>303</v>
      </c>
      <c r="M308" s="37" t="str">
        <f aca="false">IF(L308&gt;$B$6,"",INDEX(Journal!$P$7:$P$506,MATCH(L308,Journal!$AI$7:$AI$506,0)))</f>
        <v/>
      </c>
      <c r="N308" s="0" t="str">
        <f aca="false">IF(L308&gt;$B$6,"",INDEX(Journal!$A$7:$A$506,MATCH(L308,Journal!$AI$7:$AI$506,0)))</f>
        <v/>
      </c>
      <c r="O308" s="34" t="str">
        <f aca="false">IF(L308&gt;$B$6,"",INDEX(Journal!$AC$7:$AC$506,MATCH(L308,Journal!$AI$7:$AI$506,0)))</f>
        <v/>
      </c>
      <c r="P308" s="35" t="str">
        <f aca="false">IF(L308&gt;$B$6,"",INDEX(Journal!$AD$7:$AD$506,MATCH(L308,Journal!$AI$7:$AI$506,0)))</f>
        <v/>
      </c>
      <c r="Q308" s="34" t="n">
        <f aca="false">IF(L308&gt;$B$6,Q307,Q307+O308)</f>
        <v>20000</v>
      </c>
      <c r="R308" s="34" t="str">
        <f aca="false">IF(L308&gt;$B$6,"",Q308-MAX($Q$5:Q308))</f>
        <v/>
      </c>
    </row>
    <row r="309" customFormat="false" ht="15" hidden="false" customHeight="false" outlineLevel="0" collapsed="false">
      <c r="L309" s="0" t="n">
        <v>304</v>
      </c>
      <c r="M309" s="37" t="str">
        <f aca="false">IF(L309&gt;$B$6,"",INDEX(Journal!$P$7:$P$506,MATCH(L309,Journal!$AI$7:$AI$506,0)))</f>
        <v/>
      </c>
      <c r="N309" s="0" t="str">
        <f aca="false">IF(L309&gt;$B$6,"",INDEX(Journal!$A$7:$A$506,MATCH(L309,Journal!$AI$7:$AI$506,0)))</f>
        <v/>
      </c>
      <c r="O309" s="34" t="str">
        <f aca="false">IF(L309&gt;$B$6,"",INDEX(Journal!$AC$7:$AC$506,MATCH(L309,Journal!$AI$7:$AI$506,0)))</f>
        <v/>
      </c>
      <c r="P309" s="35" t="str">
        <f aca="false">IF(L309&gt;$B$6,"",INDEX(Journal!$AD$7:$AD$506,MATCH(L309,Journal!$AI$7:$AI$506,0)))</f>
        <v/>
      </c>
      <c r="Q309" s="34" t="n">
        <f aca="false">IF(L309&gt;$B$6,Q308,Q308+O309)</f>
        <v>20000</v>
      </c>
      <c r="R309" s="34" t="str">
        <f aca="false">IF(L309&gt;$B$6,"",Q309-MAX($Q$5:Q309))</f>
        <v/>
      </c>
    </row>
    <row r="310" customFormat="false" ht="15" hidden="false" customHeight="false" outlineLevel="0" collapsed="false">
      <c r="L310" s="0" t="n">
        <v>305</v>
      </c>
      <c r="M310" s="37" t="str">
        <f aca="false">IF(L310&gt;$B$6,"",INDEX(Journal!$P$7:$P$506,MATCH(L310,Journal!$AI$7:$AI$506,0)))</f>
        <v/>
      </c>
      <c r="N310" s="0" t="str">
        <f aca="false">IF(L310&gt;$B$6,"",INDEX(Journal!$A$7:$A$506,MATCH(L310,Journal!$AI$7:$AI$506,0)))</f>
        <v/>
      </c>
      <c r="O310" s="34" t="str">
        <f aca="false">IF(L310&gt;$B$6,"",INDEX(Journal!$AC$7:$AC$506,MATCH(L310,Journal!$AI$7:$AI$506,0)))</f>
        <v/>
      </c>
      <c r="P310" s="35" t="str">
        <f aca="false">IF(L310&gt;$B$6,"",INDEX(Journal!$AD$7:$AD$506,MATCH(L310,Journal!$AI$7:$AI$506,0)))</f>
        <v/>
      </c>
      <c r="Q310" s="34" t="n">
        <f aca="false">IF(L310&gt;$B$6,Q309,Q309+O310)</f>
        <v>20000</v>
      </c>
      <c r="R310" s="34" t="str">
        <f aca="false">IF(L310&gt;$B$6,"",Q310-MAX($Q$5:Q310))</f>
        <v/>
      </c>
    </row>
    <row r="311" customFormat="false" ht="15" hidden="false" customHeight="false" outlineLevel="0" collapsed="false">
      <c r="L311" s="0" t="n">
        <v>306</v>
      </c>
      <c r="M311" s="37" t="str">
        <f aca="false">IF(L311&gt;$B$6,"",INDEX(Journal!$P$7:$P$506,MATCH(L311,Journal!$AI$7:$AI$506,0)))</f>
        <v/>
      </c>
      <c r="N311" s="0" t="str">
        <f aca="false">IF(L311&gt;$B$6,"",INDEX(Journal!$A$7:$A$506,MATCH(L311,Journal!$AI$7:$AI$506,0)))</f>
        <v/>
      </c>
      <c r="O311" s="34" t="str">
        <f aca="false">IF(L311&gt;$B$6,"",INDEX(Journal!$AC$7:$AC$506,MATCH(L311,Journal!$AI$7:$AI$506,0)))</f>
        <v/>
      </c>
      <c r="P311" s="35" t="str">
        <f aca="false">IF(L311&gt;$B$6,"",INDEX(Journal!$AD$7:$AD$506,MATCH(L311,Journal!$AI$7:$AI$506,0)))</f>
        <v/>
      </c>
      <c r="Q311" s="34" t="n">
        <f aca="false">IF(L311&gt;$B$6,Q310,Q310+O311)</f>
        <v>20000</v>
      </c>
      <c r="R311" s="34" t="str">
        <f aca="false">IF(L311&gt;$B$6,"",Q311-MAX($Q$5:Q311))</f>
        <v/>
      </c>
    </row>
    <row r="312" customFormat="false" ht="15" hidden="false" customHeight="false" outlineLevel="0" collapsed="false">
      <c r="L312" s="0" t="n">
        <v>307</v>
      </c>
      <c r="M312" s="37" t="str">
        <f aca="false">IF(L312&gt;$B$6,"",INDEX(Journal!$P$7:$P$506,MATCH(L312,Journal!$AI$7:$AI$506,0)))</f>
        <v/>
      </c>
      <c r="N312" s="0" t="str">
        <f aca="false">IF(L312&gt;$B$6,"",INDEX(Journal!$A$7:$A$506,MATCH(L312,Journal!$AI$7:$AI$506,0)))</f>
        <v/>
      </c>
      <c r="O312" s="34" t="str">
        <f aca="false">IF(L312&gt;$B$6,"",INDEX(Journal!$AC$7:$AC$506,MATCH(L312,Journal!$AI$7:$AI$506,0)))</f>
        <v/>
      </c>
      <c r="P312" s="35" t="str">
        <f aca="false">IF(L312&gt;$B$6,"",INDEX(Journal!$AD$7:$AD$506,MATCH(L312,Journal!$AI$7:$AI$506,0)))</f>
        <v/>
      </c>
      <c r="Q312" s="34" t="n">
        <f aca="false">IF(L312&gt;$B$6,Q311,Q311+O312)</f>
        <v>20000</v>
      </c>
      <c r="R312" s="34" t="str">
        <f aca="false">IF(L312&gt;$B$6,"",Q312-MAX($Q$5:Q312))</f>
        <v/>
      </c>
    </row>
    <row r="313" customFormat="false" ht="15" hidden="false" customHeight="false" outlineLevel="0" collapsed="false">
      <c r="L313" s="0" t="n">
        <v>308</v>
      </c>
      <c r="M313" s="37" t="str">
        <f aca="false">IF(L313&gt;$B$6,"",INDEX(Journal!$P$7:$P$506,MATCH(L313,Journal!$AI$7:$AI$506,0)))</f>
        <v/>
      </c>
      <c r="N313" s="0" t="str">
        <f aca="false">IF(L313&gt;$B$6,"",INDEX(Journal!$A$7:$A$506,MATCH(L313,Journal!$AI$7:$AI$506,0)))</f>
        <v/>
      </c>
      <c r="O313" s="34" t="str">
        <f aca="false">IF(L313&gt;$B$6,"",INDEX(Journal!$AC$7:$AC$506,MATCH(L313,Journal!$AI$7:$AI$506,0)))</f>
        <v/>
      </c>
      <c r="P313" s="35" t="str">
        <f aca="false">IF(L313&gt;$B$6,"",INDEX(Journal!$AD$7:$AD$506,MATCH(L313,Journal!$AI$7:$AI$506,0)))</f>
        <v/>
      </c>
      <c r="Q313" s="34" t="n">
        <f aca="false">IF(L313&gt;$B$6,Q312,Q312+O313)</f>
        <v>20000</v>
      </c>
      <c r="R313" s="34" t="str">
        <f aca="false">IF(L313&gt;$B$6,"",Q313-MAX($Q$5:Q313))</f>
        <v/>
      </c>
    </row>
    <row r="314" customFormat="false" ht="15" hidden="false" customHeight="false" outlineLevel="0" collapsed="false">
      <c r="L314" s="0" t="n">
        <v>309</v>
      </c>
      <c r="M314" s="37" t="str">
        <f aca="false">IF(L314&gt;$B$6,"",INDEX(Journal!$P$7:$P$506,MATCH(L314,Journal!$AI$7:$AI$506,0)))</f>
        <v/>
      </c>
      <c r="N314" s="0" t="str">
        <f aca="false">IF(L314&gt;$B$6,"",INDEX(Journal!$A$7:$A$506,MATCH(L314,Journal!$AI$7:$AI$506,0)))</f>
        <v/>
      </c>
      <c r="O314" s="34" t="str">
        <f aca="false">IF(L314&gt;$B$6,"",INDEX(Journal!$AC$7:$AC$506,MATCH(L314,Journal!$AI$7:$AI$506,0)))</f>
        <v/>
      </c>
      <c r="P314" s="35" t="str">
        <f aca="false">IF(L314&gt;$B$6,"",INDEX(Journal!$AD$7:$AD$506,MATCH(L314,Journal!$AI$7:$AI$506,0)))</f>
        <v/>
      </c>
      <c r="Q314" s="34" t="n">
        <f aca="false">IF(L314&gt;$B$6,Q313,Q313+O314)</f>
        <v>20000</v>
      </c>
      <c r="R314" s="34" t="str">
        <f aca="false">IF(L314&gt;$B$6,"",Q314-MAX($Q$5:Q314))</f>
        <v/>
      </c>
    </row>
    <row r="315" customFormat="false" ht="15" hidden="false" customHeight="false" outlineLevel="0" collapsed="false">
      <c r="L315" s="0" t="n">
        <v>310</v>
      </c>
      <c r="M315" s="37" t="str">
        <f aca="false">IF(L315&gt;$B$6,"",INDEX(Journal!$P$7:$P$506,MATCH(L315,Journal!$AI$7:$AI$506,0)))</f>
        <v/>
      </c>
      <c r="N315" s="0" t="str">
        <f aca="false">IF(L315&gt;$B$6,"",INDEX(Journal!$A$7:$A$506,MATCH(L315,Journal!$AI$7:$AI$506,0)))</f>
        <v/>
      </c>
      <c r="O315" s="34" t="str">
        <f aca="false">IF(L315&gt;$B$6,"",INDEX(Journal!$AC$7:$AC$506,MATCH(L315,Journal!$AI$7:$AI$506,0)))</f>
        <v/>
      </c>
      <c r="P315" s="35" t="str">
        <f aca="false">IF(L315&gt;$B$6,"",INDEX(Journal!$AD$7:$AD$506,MATCH(L315,Journal!$AI$7:$AI$506,0)))</f>
        <v/>
      </c>
      <c r="Q315" s="34" t="n">
        <f aca="false">IF(L315&gt;$B$6,Q314,Q314+O315)</f>
        <v>20000</v>
      </c>
      <c r="R315" s="34" t="str">
        <f aca="false">IF(L315&gt;$B$6,"",Q315-MAX($Q$5:Q315))</f>
        <v/>
      </c>
    </row>
    <row r="316" customFormat="false" ht="15" hidden="false" customHeight="false" outlineLevel="0" collapsed="false">
      <c r="L316" s="0" t="n">
        <v>311</v>
      </c>
      <c r="M316" s="37" t="str">
        <f aca="false">IF(L316&gt;$B$6,"",INDEX(Journal!$P$7:$P$506,MATCH(L316,Journal!$AI$7:$AI$506,0)))</f>
        <v/>
      </c>
      <c r="N316" s="0" t="str">
        <f aca="false">IF(L316&gt;$B$6,"",INDEX(Journal!$A$7:$A$506,MATCH(L316,Journal!$AI$7:$AI$506,0)))</f>
        <v/>
      </c>
      <c r="O316" s="34" t="str">
        <f aca="false">IF(L316&gt;$B$6,"",INDEX(Journal!$AC$7:$AC$506,MATCH(L316,Journal!$AI$7:$AI$506,0)))</f>
        <v/>
      </c>
      <c r="P316" s="35" t="str">
        <f aca="false">IF(L316&gt;$B$6,"",INDEX(Journal!$AD$7:$AD$506,MATCH(L316,Journal!$AI$7:$AI$506,0)))</f>
        <v/>
      </c>
      <c r="Q316" s="34" t="n">
        <f aca="false">IF(L316&gt;$B$6,Q315,Q315+O316)</f>
        <v>20000</v>
      </c>
      <c r="R316" s="34" t="str">
        <f aca="false">IF(L316&gt;$B$6,"",Q316-MAX($Q$5:Q316))</f>
        <v/>
      </c>
    </row>
    <row r="317" customFormat="false" ht="15" hidden="false" customHeight="false" outlineLevel="0" collapsed="false">
      <c r="L317" s="0" t="n">
        <v>312</v>
      </c>
      <c r="M317" s="37" t="str">
        <f aca="false">IF(L317&gt;$B$6,"",INDEX(Journal!$P$7:$P$506,MATCH(L317,Journal!$AI$7:$AI$506,0)))</f>
        <v/>
      </c>
      <c r="N317" s="0" t="str">
        <f aca="false">IF(L317&gt;$B$6,"",INDEX(Journal!$A$7:$A$506,MATCH(L317,Journal!$AI$7:$AI$506,0)))</f>
        <v/>
      </c>
      <c r="O317" s="34" t="str">
        <f aca="false">IF(L317&gt;$B$6,"",INDEX(Journal!$AC$7:$AC$506,MATCH(L317,Journal!$AI$7:$AI$506,0)))</f>
        <v/>
      </c>
      <c r="P317" s="35" t="str">
        <f aca="false">IF(L317&gt;$B$6,"",INDEX(Journal!$AD$7:$AD$506,MATCH(L317,Journal!$AI$7:$AI$506,0)))</f>
        <v/>
      </c>
      <c r="Q317" s="34" t="n">
        <f aca="false">IF(L317&gt;$B$6,Q316,Q316+O317)</f>
        <v>20000</v>
      </c>
      <c r="R317" s="34" t="str">
        <f aca="false">IF(L317&gt;$B$6,"",Q317-MAX($Q$5:Q317))</f>
        <v/>
      </c>
    </row>
    <row r="318" customFormat="false" ht="15" hidden="false" customHeight="false" outlineLevel="0" collapsed="false">
      <c r="L318" s="0" t="n">
        <v>313</v>
      </c>
      <c r="M318" s="37" t="str">
        <f aca="false">IF(L318&gt;$B$6,"",INDEX(Journal!$P$7:$P$506,MATCH(L318,Journal!$AI$7:$AI$506,0)))</f>
        <v/>
      </c>
      <c r="N318" s="0" t="str">
        <f aca="false">IF(L318&gt;$B$6,"",INDEX(Journal!$A$7:$A$506,MATCH(L318,Journal!$AI$7:$AI$506,0)))</f>
        <v/>
      </c>
      <c r="O318" s="34" t="str">
        <f aca="false">IF(L318&gt;$B$6,"",INDEX(Journal!$AC$7:$AC$506,MATCH(L318,Journal!$AI$7:$AI$506,0)))</f>
        <v/>
      </c>
      <c r="P318" s="35" t="str">
        <f aca="false">IF(L318&gt;$B$6,"",INDEX(Journal!$AD$7:$AD$506,MATCH(L318,Journal!$AI$7:$AI$506,0)))</f>
        <v/>
      </c>
      <c r="Q318" s="34" t="n">
        <f aca="false">IF(L318&gt;$B$6,Q317,Q317+O318)</f>
        <v>20000</v>
      </c>
      <c r="R318" s="34" t="str">
        <f aca="false">IF(L318&gt;$B$6,"",Q318-MAX($Q$5:Q318))</f>
        <v/>
      </c>
    </row>
    <row r="319" customFormat="false" ht="15" hidden="false" customHeight="false" outlineLevel="0" collapsed="false">
      <c r="L319" s="0" t="n">
        <v>314</v>
      </c>
      <c r="M319" s="37" t="str">
        <f aca="false">IF(L319&gt;$B$6,"",INDEX(Journal!$P$7:$P$506,MATCH(L319,Journal!$AI$7:$AI$506,0)))</f>
        <v/>
      </c>
      <c r="N319" s="0" t="str">
        <f aca="false">IF(L319&gt;$B$6,"",INDEX(Journal!$A$7:$A$506,MATCH(L319,Journal!$AI$7:$AI$506,0)))</f>
        <v/>
      </c>
      <c r="O319" s="34" t="str">
        <f aca="false">IF(L319&gt;$B$6,"",INDEX(Journal!$AC$7:$AC$506,MATCH(L319,Journal!$AI$7:$AI$506,0)))</f>
        <v/>
      </c>
      <c r="P319" s="35" t="str">
        <f aca="false">IF(L319&gt;$B$6,"",INDEX(Journal!$AD$7:$AD$506,MATCH(L319,Journal!$AI$7:$AI$506,0)))</f>
        <v/>
      </c>
      <c r="Q319" s="34" t="n">
        <f aca="false">IF(L319&gt;$B$6,Q318,Q318+O319)</f>
        <v>20000</v>
      </c>
      <c r="R319" s="34" t="str">
        <f aca="false">IF(L319&gt;$B$6,"",Q319-MAX($Q$5:Q319))</f>
        <v/>
      </c>
    </row>
    <row r="320" customFormat="false" ht="15" hidden="false" customHeight="false" outlineLevel="0" collapsed="false">
      <c r="L320" s="0" t="n">
        <v>315</v>
      </c>
      <c r="M320" s="37" t="str">
        <f aca="false">IF(L320&gt;$B$6,"",INDEX(Journal!$P$7:$P$506,MATCH(L320,Journal!$AI$7:$AI$506,0)))</f>
        <v/>
      </c>
      <c r="N320" s="0" t="str">
        <f aca="false">IF(L320&gt;$B$6,"",INDEX(Journal!$A$7:$A$506,MATCH(L320,Journal!$AI$7:$AI$506,0)))</f>
        <v/>
      </c>
      <c r="O320" s="34" t="str">
        <f aca="false">IF(L320&gt;$B$6,"",INDEX(Journal!$AC$7:$AC$506,MATCH(L320,Journal!$AI$7:$AI$506,0)))</f>
        <v/>
      </c>
      <c r="P320" s="35" t="str">
        <f aca="false">IF(L320&gt;$B$6,"",INDEX(Journal!$AD$7:$AD$506,MATCH(L320,Journal!$AI$7:$AI$506,0)))</f>
        <v/>
      </c>
      <c r="Q320" s="34" t="n">
        <f aca="false">IF(L320&gt;$B$6,Q319,Q319+O320)</f>
        <v>20000</v>
      </c>
      <c r="R320" s="34" t="str">
        <f aca="false">IF(L320&gt;$B$6,"",Q320-MAX($Q$5:Q320))</f>
        <v/>
      </c>
    </row>
    <row r="321" customFormat="false" ht="15" hidden="false" customHeight="false" outlineLevel="0" collapsed="false">
      <c r="L321" s="0" t="n">
        <v>316</v>
      </c>
      <c r="M321" s="37" t="str">
        <f aca="false">IF(L321&gt;$B$6,"",INDEX(Journal!$P$7:$P$506,MATCH(L321,Journal!$AI$7:$AI$506,0)))</f>
        <v/>
      </c>
      <c r="N321" s="0" t="str">
        <f aca="false">IF(L321&gt;$B$6,"",INDEX(Journal!$A$7:$A$506,MATCH(L321,Journal!$AI$7:$AI$506,0)))</f>
        <v/>
      </c>
      <c r="O321" s="34" t="str">
        <f aca="false">IF(L321&gt;$B$6,"",INDEX(Journal!$AC$7:$AC$506,MATCH(L321,Journal!$AI$7:$AI$506,0)))</f>
        <v/>
      </c>
      <c r="P321" s="35" t="str">
        <f aca="false">IF(L321&gt;$B$6,"",INDEX(Journal!$AD$7:$AD$506,MATCH(L321,Journal!$AI$7:$AI$506,0)))</f>
        <v/>
      </c>
      <c r="Q321" s="34" t="n">
        <f aca="false">IF(L321&gt;$B$6,Q320,Q320+O321)</f>
        <v>20000</v>
      </c>
      <c r="R321" s="34" t="str">
        <f aca="false">IF(L321&gt;$B$6,"",Q321-MAX($Q$5:Q321))</f>
        <v/>
      </c>
    </row>
    <row r="322" customFormat="false" ht="15" hidden="false" customHeight="false" outlineLevel="0" collapsed="false">
      <c r="L322" s="0" t="n">
        <v>317</v>
      </c>
      <c r="M322" s="37" t="str">
        <f aca="false">IF(L322&gt;$B$6,"",INDEX(Journal!$P$7:$P$506,MATCH(L322,Journal!$AI$7:$AI$506,0)))</f>
        <v/>
      </c>
      <c r="N322" s="0" t="str">
        <f aca="false">IF(L322&gt;$B$6,"",INDEX(Journal!$A$7:$A$506,MATCH(L322,Journal!$AI$7:$AI$506,0)))</f>
        <v/>
      </c>
      <c r="O322" s="34" t="str">
        <f aca="false">IF(L322&gt;$B$6,"",INDEX(Journal!$AC$7:$AC$506,MATCH(L322,Journal!$AI$7:$AI$506,0)))</f>
        <v/>
      </c>
      <c r="P322" s="35" t="str">
        <f aca="false">IF(L322&gt;$B$6,"",INDEX(Journal!$AD$7:$AD$506,MATCH(L322,Journal!$AI$7:$AI$506,0)))</f>
        <v/>
      </c>
      <c r="Q322" s="34" t="n">
        <f aca="false">IF(L322&gt;$B$6,Q321,Q321+O322)</f>
        <v>20000</v>
      </c>
      <c r="R322" s="34" t="str">
        <f aca="false">IF(L322&gt;$B$6,"",Q322-MAX($Q$5:Q322))</f>
        <v/>
      </c>
    </row>
    <row r="323" customFormat="false" ht="15" hidden="false" customHeight="false" outlineLevel="0" collapsed="false">
      <c r="L323" s="0" t="n">
        <v>318</v>
      </c>
      <c r="M323" s="37" t="str">
        <f aca="false">IF(L323&gt;$B$6,"",INDEX(Journal!$P$7:$P$506,MATCH(L323,Journal!$AI$7:$AI$506,0)))</f>
        <v/>
      </c>
      <c r="N323" s="0" t="str">
        <f aca="false">IF(L323&gt;$B$6,"",INDEX(Journal!$A$7:$A$506,MATCH(L323,Journal!$AI$7:$AI$506,0)))</f>
        <v/>
      </c>
      <c r="O323" s="34" t="str">
        <f aca="false">IF(L323&gt;$B$6,"",INDEX(Journal!$AC$7:$AC$506,MATCH(L323,Journal!$AI$7:$AI$506,0)))</f>
        <v/>
      </c>
      <c r="P323" s="35" t="str">
        <f aca="false">IF(L323&gt;$B$6,"",INDEX(Journal!$AD$7:$AD$506,MATCH(L323,Journal!$AI$7:$AI$506,0)))</f>
        <v/>
      </c>
      <c r="Q323" s="34" t="n">
        <f aca="false">IF(L323&gt;$B$6,Q322,Q322+O323)</f>
        <v>20000</v>
      </c>
      <c r="R323" s="34" t="str">
        <f aca="false">IF(L323&gt;$B$6,"",Q323-MAX($Q$5:Q323))</f>
        <v/>
      </c>
    </row>
    <row r="324" customFormat="false" ht="15" hidden="false" customHeight="false" outlineLevel="0" collapsed="false">
      <c r="L324" s="0" t="n">
        <v>319</v>
      </c>
      <c r="M324" s="37" t="str">
        <f aca="false">IF(L324&gt;$B$6,"",INDEX(Journal!$P$7:$P$506,MATCH(L324,Journal!$AI$7:$AI$506,0)))</f>
        <v/>
      </c>
      <c r="N324" s="0" t="str">
        <f aca="false">IF(L324&gt;$B$6,"",INDEX(Journal!$A$7:$A$506,MATCH(L324,Journal!$AI$7:$AI$506,0)))</f>
        <v/>
      </c>
      <c r="O324" s="34" t="str">
        <f aca="false">IF(L324&gt;$B$6,"",INDEX(Journal!$AC$7:$AC$506,MATCH(L324,Journal!$AI$7:$AI$506,0)))</f>
        <v/>
      </c>
      <c r="P324" s="35" t="str">
        <f aca="false">IF(L324&gt;$B$6,"",INDEX(Journal!$AD$7:$AD$506,MATCH(L324,Journal!$AI$7:$AI$506,0)))</f>
        <v/>
      </c>
      <c r="Q324" s="34" t="n">
        <f aca="false">IF(L324&gt;$B$6,Q323,Q323+O324)</f>
        <v>20000</v>
      </c>
      <c r="R324" s="34" t="str">
        <f aca="false">IF(L324&gt;$B$6,"",Q324-MAX($Q$5:Q324))</f>
        <v/>
      </c>
    </row>
    <row r="325" customFormat="false" ht="15" hidden="false" customHeight="false" outlineLevel="0" collapsed="false">
      <c r="L325" s="0" t="n">
        <v>320</v>
      </c>
      <c r="M325" s="37" t="str">
        <f aca="false">IF(L325&gt;$B$6,"",INDEX(Journal!$P$7:$P$506,MATCH(L325,Journal!$AI$7:$AI$506,0)))</f>
        <v/>
      </c>
      <c r="N325" s="0" t="str">
        <f aca="false">IF(L325&gt;$B$6,"",INDEX(Journal!$A$7:$A$506,MATCH(L325,Journal!$AI$7:$AI$506,0)))</f>
        <v/>
      </c>
      <c r="O325" s="34" t="str">
        <f aca="false">IF(L325&gt;$B$6,"",INDEX(Journal!$AC$7:$AC$506,MATCH(L325,Journal!$AI$7:$AI$506,0)))</f>
        <v/>
      </c>
      <c r="P325" s="35" t="str">
        <f aca="false">IF(L325&gt;$B$6,"",INDEX(Journal!$AD$7:$AD$506,MATCH(L325,Journal!$AI$7:$AI$506,0)))</f>
        <v/>
      </c>
      <c r="Q325" s="34" t="n">
        <f aca="false">IF(L325&gt;$B$6,Q324,Q324+O325)</f>
        <v>20000</v>
      </c>
      <c r="R325" s="34" t="str">
        <f aca="false">IF(L325&gt;$B$6,"",Q325-MAX($Q$5:Q325))</f>
        <v/>
      </c>
    </row>
    <row r="326" customFormat="false" ht="15" hidden="false" customHeight="false" outlineLevel="0" collapsed="false">
      <c r="L326" s="0" t="n">
        <v>321</v>
      </c>
      <c r="M326" s="37" t="str">
        <f aca="false">IF(L326&gt;$B$6,"",INDEX(Journal!$P$7:$P$506,MATCH(L326,Journal!$AI$7:$AI$506,0)))</f>
        <v/>
      </c>
      <c r="N326" s="0" t="str">
        <f aca="false">IF(L326&gt;$B$6,"",INDEX(Journal!$A$7:$A$506,MATCH(L326,Journal!$AI$7:$AI$506,0)))</f>
        <v/>
      </c>
      <c r="O326" s="34" t="str">
        <f aca="false">IF(L326&gt;$B$6,"",INDEX(Journal!$AC$7:$AC$506,MATCH(L326,Journal!$AI$7:$AI$506,0)))</f>
        <v/>
      </c>
      <c r="P326" s="35" t="str">
        <f aca="false">IF(L326&gt;$B$6,"",INDEX(Journal!$AD$7:$AD$506,MATCH(L326,Journal!$AI$7:$AI$506,0)))</f>
        <v/>
      </c>
      <c r="Q326" s="34" t="n">
        <f aca="false">IF(L326&gt;$B$6,Q325,Q325+O326)</f>
        <v>20000</v>
      </c>
      <c r="R326" s="34" t="str">
        <f aca="false">IF(L326&gt;$B$6,"",Q326-MAX($Q$5:Q326))</f>
        <v/>
      </c>
    </row>
    <row r="327" customFormat="false" ht="15" hidden="false" customHeight="false" outlineLevel="0" collapsed="false">
      <c r="L327" s="0" t="n">
        <v>322</v>
      </c>
      <c r="M327" s="37" t="str">
        <f aca="false">IF(L327&gt;$B$6,"",INDEX(Journal!$P$7:$P$506,MATCH(L327,Journal!$AI$7:$AI$506,0)))</f>
        <v/>
      </c>
      <c r="N327" s="0" t="str">
        <f aca="false">IF(L327&gt;$B$6,"",INDEX(Journal!$A$7:$A$506,MATCH(L327,Journal!$AI$7:$AI$506,0)))</f>
        <v/>
      </c>
      <c r="O327" s="34" t="str">
        <f aca="false">IF(L327&gt;$B$6,"",INDEX(Journal!$AC$7:$AC$506,MATCH(L327,Journal!$AI$7:$AI$506,0)))</f>
        <v/>
      </c>
      <c r="P327" s="35" t="str">
        <f aca="false">IF(L327&gt;$B$6,"",INDEX(Journal!$AD$7:$AD$506,MATCH(L327,Journal!$AI$7:$AI$506,0)))</f>
        <v/>
      </c>
      <c r="Q327" s="34" t="n">
        <f aca="false">IF(L327&gt;$B$6,Q326,Q326+O327)</f>
        <v>20000</v>
      </c>
      <c r="R327" s="34" t="str">
        <f aca="false">IF(L327&gt;$B$6,"",Q327-MAX($Q$5:Q327))</f>
        <v/>
      </c>
    </row>
    <row r="328" customFormat="false" ht="15" hidden="false" customHeight="false" outlineLevel="0" collapsed="false">
      <c r="L328" s="0" t="n">
        <v>323</v>
      </c>
      <c r="M328" s="37" t="str">
        <f aca="false">IF(L328&gt;$B$6,"",INDEX(Journal!$P$7:$P$506,MATCH(L328,Journal!$AI$7:$AI$506,0)))</f>
        <v/>
      </c>
      <c r="N328" s="0" t="str">
        <f aca="false">IF(L328&gt;$B$6,"",INDEX(Journal!$A$7:$A$506,MATCH(L328,Journal!$AI$7:$AI$506,0)))</f>
        <v/>
      </c>
      <c r="O328" s="34" t="str">
        <f aca="false">IF(L328&gt;$B$6,"",INDEX(Journal!$AC$7:$AC$506,MATCH(L328,Journal!$AI$7:$AI$506,0)))</f>
        <v/>
      </c>
      <c r="P328" s="35" t="str">
        <f aca="false">IF(L328&gt;$B$6,"",INDEX(Journal!$AD$7:$AD$506,MATCH(L328,Journal!$AI$7:$AI$506,0)))</f>
        <v/>
      </c>
      <c r="Q328" s="34" t="n">
        <f aca="false">IF(L328&gt;$B$6,Q327,Q327+O328)</f>
        <v>20000</v>
      </c>
      <c r="R328" s="34" t="str">
        <f aca="false">IF(L328&gt;$B$6,"",Q328-MAX($Q$5:Q328))</f>
        <v/>
      </c>
    </row>
    <row r="329" customFormat="false" ht="15" hidden="false" customHeight="false" outlineLevel="0" collapsed="false">
      <c r="L329" s="0" t="n">
        <v>324</v>
      </c>
      <c r="M329" s="37" t="str">
        <f aca="false">IF(L329&gt;$B$6,"",INDEX(Journal!$P$7:$P$506,MATCH(L329,Journal!$AI$7:$AI$506,0)))</f>
        <v/>
      </c>
      <c r="N329" s="0" t="str">
        <f aca="false">IF(L329&gt;$B$6,"",INDEX(Journal!$A$7:$A$506,MATCH(L329,Journal!$AI$7:$AI$506,0)))</f>
        <v/>
      </c>
      <c r="O329" s="34" t="str">
        <f aca="false">IF(L329&gt;$B$6,"",INDEX(Journal!$AC$7:$AC$506,MATCH(L329,Journal!$AI$7:$AI$506,0)))</f>
        <v/>
      </c>
      <c r="P329" s="35" t="str">
        <f aca="false">IF(L329&gt;$B$6,"",INDEX(Journal!$AD$7:$AD$506,MATCH(L329,Journal!$AI$7:$AI$506,0)))</f>
        <v/>
      </c>
      <c r="Q329" s="34" t="n">
        <f aca="false">IF(L329&gt;$B$6,Q328,Q328+O329)</f>
        <v>20000</v>
      </c>
      <c r="R329" s="34" t="str">
        <f aca="false">IF(L329&gt;$B$6,"",Q329-MAX($Q$5:Q329))</f>
        <v/>
      </c>
    </row>
    <row r="330" customFormat="false" ht="15" hidden="false" customHeight="false" outlineLevel="0" collapsed="false">
      <c r="L330" s="0" t="n">
        <v>325</v>
      </c>
      <c r="M330" s="37" t="str">
        <f aca="false">IF(L330&gt;$B$6,"",INDEX(Journal!$P$7:$P$506,MATCH(L330,Journal!$AI$7:$AI$506,0)))</f>
        <v/>
      </c>
      <c r="N330" s="0" t="str">
        <f aca="false">IF(L330&gt;$B$6,"",INDEX(Journal!$A$7:$A$506,MATCH(L330,Journal!$AI$7:$AI$506,0)))</f>
        <v/>
      </c>
      <c r="O330" s="34" t="str">
        <f aca="false">IF(L330&gt;$B$6,"",INDEX(Journal!$AC$7:$AC$506,MATCH(L330,Journal!$AI$7:$AI$506,0)))</f>
        <v/>
      </c>
      <c r="P330" s="35" t="str">
        <f aca="false">IF(L330&gt;$B$6,"",INDEX(Journal!$AD$7:$AD$506,MATCH(L330,Journal!$AI$7:$AI$506,0)))</f>
        <v/>
      </c>
      <c r="Q330" s="34" t="n">
        <f aca="false">IF(L330&gt;$B$6,Q329,Q329+O330)</f>
        <v>20000</v>
      </c>
      <c r="R330" s="34" t="str">
        <f aca="false">IF(L330&gt;$B$6,"",Q330-MAX($Q$5:Q330))</f>
        <v/>
      </c>
    </row>
    <row r="331" customFormat="false" ht="15" hidden="false" customHeight="false" outlineLevel="0" collapsed="false">
      <c r="L331" s="0" t="n">
        <v>326</v>
      </c>
      <c r="M331" s="37" t="str">
        <f aca="false">IF(L331&gt;$B$6,"",INDEX(Journal!$P$7:$P$506,MATCH(L331,Journal!$AI$7:$AI$506,0)))</f>
        <v/>
      </c>
      <c r="N331" s="0" t="str">
        <f aca="false">IF(L331&gt;$B$6,"",INDEX(Journal!$A$7:$A$506,MATCH(L331,Journal!$AI$7:$AI$506,0)))</f>
        <v/>
      </c>
      <c r="O331" s="34" t="str">
        <f aca="false">IF(L331&gt;$B$6,"",INDEX(Journal!$AC$7:$AC$506,MATCH(L331,Journal!$AI$7:$AI$506,0)))</f>
        <v/>
      </c>
      <c r="P331" s="35" t="str">
        <f aca="false">IF(L331&gt;$B$6,"",INDEX(Journal!$AD$7:$AD$506,MATCH(L331,Journal!$AI$7:$AI$506,0)))</f>
        <v/>
      </c>
      <c r="Q331" s="34" t="n">
        <f aca="false">IF(L331&gt;$B$6,Q330,Q330+O331)</f>
        <v>20000</v>
      </c>
      <c r="R331" s="34" t="str">
        <f aca="false">IF(L331&gt;$B$6,"",Q331-MAX($Q$5:Q331))</f>
        <v/>
      </c>
    </row>
    <row r="332" customFormat="false" ht="15" hidden="false" customHeight="false" outlineLevel="0" collapsed="false">
      <c r="L332" s="0" t="n">
        <v>327</v>
      </c>
      <c r="M332" s="37" t="str">
        <f aca="false">IF(L332&gt;$B$6,"",INDEX(Journal!$P$7:$P$506,MATCH(L332,Journal!$AI$7:$AI$506,0)))</f>
        <v/>
      </c>
      <c r="N332" s="0" t="str">
        <f aca="false">IF(L332&gt;$B$6,"",INDEX(Journal!$A$7:$A$506,MATCH(L332,Journal!$AI$7:$AI$506,0)))</f>
        <v/>
      </c>
      <c r="O332" s="34" t="str">
        <f aca="false">IF(L332&gt;$B$6,"",INDEX(Journal!$AC$7:$AC$506,MATCH(L332,Journal!$AI$7:$AI$506,0)))</f>
        <v/>
      </c>
      <c r="P332" s="35" t="str">
        <f aca="false">IF(L332&gt;$B$6,"",INDEX(Journal!$AD$7:$AD$506,MATCH(L332,Journal!$AI$7:$AI$506,0)))</f>
        <v/>
      </c>
      <c r="Q332" s="34" t="n">
        <f aca="false">IF(L332&gt;$B$6,Q331,Q331+O332)</f>
        <v>20000</v>
      </c>
      <c r="R332" s="34" t="str">
        <f aca="false">IF(L332&gt;$B$6,"",Q332-MAX($Q$5:Q332))</f>
        <v/>
      </c>
    </row>
    <row r="333" customFormat="false" ht="15" hidden="false" customHeight="false" outlineLevel="0" collapsed="false">
      <c r="L333" s="0" t="n">
        <v>328</v>
      </c>
      <c r="M333" s="37" t="str">
        <f aca="false">IF(L333&gt;$B$6,"",INDEX(Journal!$P$7:$P$506,MATCH(L333,Journal!$AI$7:$AI$506,0)))</f>
        <v/>
      </c>
      <c r="N333" s="0" t="str">
        <f aca="false">IF(L333&gt;$B$6,"",INDEX(Journal!$A$7:$A$506,MATCH(L333,Journal!$AI$7:$AI$506,0)))</f>
        <v/>
      </c>
      <c r="O333" s="34" t="str">
        <f aca="false">IF(L333&gt;$B$6,"",INDEX(Journal!$AC$7:$AC$506,MATCH(L333,Journal!$AI$7:$AI$506,0)))</f>
        <v/>
      </c>
      <c r="P333" s="35" t="str">
        <f aca="false">IF(L333&gt;$B$6,"",INDEX(Journal!$AD$7:$AD$506,MATCH(L333,Journal!$AI$7:$AI$506,0)))</f>
        <v/>
      </c>
      <c r="Q333" s="34" t="n">
        <f aca="false">IF(L333&gt;$B$6,Q332,Q332+O333)</f>
        <v>20000</v>
      </c>
      <c r="R333" s="34" t="str">
        <f aca="false">IF(L333&gt;$B$6,"",Q333-MAX($Q$5:Q333))</f>
        <v/>
      </c>
    </row>
    <row r="334" customFormat="false" ht="15" hidden="false" customHeight="false" outlineLevel="0" collapsed="false">
      <c r="L334" s="0" t="n">
        <v>329</v>
      </c>
      <c r="M334" s="37" t="str">
        <f aca="false">IF(L334&gt;$B$6,"",INDEX(Journal!$P$7:$P$506,MATCH(L334,Journal!$AI$7:$AI$506,0)))</f>
        <v/>
      </c>
      <c r="N334" s="0" t="str">
        <f aca="false">IF(L334&gt;$B$6,"",INDEX(Journal!$A$7:$A$506,MATCH(L334,Journal!$AI$7:$AI$506,0)))</f>
        <v/>
      </c>
      <c r="O334" s="34" t="str">
        <f aca="false">IF(L334&gt;$B$6,"",INDEX(Journal!$AC$7:$AC$506,MATCH(L334,Journal!$AI$7:$AI$506,0)))</f>
        <v/>
      </c>
      <c r="P334" s="35" t="str">
        <f aca="false">IF(L334&gt;$B$6,"",INDEX(Journal!$AD$7:$AD$506,MATCH(L334,Journal!$AI$7:$AI$506,0)))</f>
        <v/>
      </c>
      <c r="Q334" s="34" t="n">
        <f aca="false">IF(L334&gt;$B$6,Q333,Q333+O334)</f>
        <v>20000</v>
      </c>
      <c r="R334" s="34" t="str">
        <f aca="false">IF(L334&gt;$B$6,"",Q334-MAX($Q$5:Q334))</f>
        <v/>
      </c>
    </row>
    <row r="335" customFormat="false" ht="15" hidden="false" customHeight="false" outlineLevel="0" collapsed="false">
      <c r="L335" s="0" t="n">
        <v>330</v>
      </c>
      <c r="M335" s="37" t="str">
        <f aca="false">IF(L335&gt;$B$6,"",INDEX(Journal!$P$7:$P$506,MATCH(L335,Journal!$AI$7:$AI$506,0)))</f>
        <v/>
      </c>
      <c r="N335" s="0" t="str">
        <f aca="false">IF(L335&gt;$B$6,"",INDEX(Journal!$A$7:$A$506,MATCH(L335,Journal!$AI$7:$AI$506,0)))</f>
        <v/>
      </c>
      <c r="O335" s="34" t="str">
        <f aca="false">IF(L335&gt;$B$6,"",INDEX(Journal!$AC$7:$AC$506,MATCH(L335,Journal!$AI$7:$AI$506,0)))</f>
        <v/>
      </c>
      <c r="P335" s="35" t="str">
        <f aca="false">IF(L335&gt;$B$6,"",INDEX(Journal!$AD$7:$AD$506,MATCH(L335,Journal!$AI$7:$AI$506,0)))</f>
        <v/>
      </c>
      <c r="Q335" s="34" t="n">
        <f aca="false">IF(L335&gt;$B$6,Q334,Q334+O335)</f>
        <v>20000</v>
      </c>
      <c r="R335" s="34" t="str">
        <f aca="false">IF(L335&gt;$B$6,"",Q335-MAX($Q$5:Q335))</f>
        <v/>
      </c>
    </row>
    <row r="336" customFormat="false" ht="15" hidden="false" customHeight="false" outlineLevel="0" collapsed="false">
      <c r="L336" s="0" t="n">
        <v>331</v>
      </c>
      <c r="M336" s="37" t="str">
        <f aca="false">IF(L336&gt;$B$6,"",INDEX(Journal!$P$7:$P$506,MATCH(L336,Journal!$AI$7:$AI$506,0)))</f>
        <v/>
      </c>
      <c r="N336" s="0" t="str">
        <f aca="false">IF(L336&gt;$B$6,"",INDEX(Journal!$A$7:$A$506,MATCH(L336,Journal!$AI$7:$AI$506,0)))</f>
        <v/>
      </c>
      <c r="O336" s="34" t="str">
        <f aca="false">IF(L336&gt;$B$6,"",INDEX(Journal!$AC$7:$AC$506,MATCH(L336,Journal!$AI$7:$AI$506,0)))</f>
        <v/>
      </c>
      <c r="P336" s="35" t="str">
        <f aca="false">IF(L336&gt;$B$6,"",INDEX(Journal!$AD$7:$AD$506,MATCH(L336,Journal!$AI$7:$AI$506,0)))</f>
        <v/>
      </c>
      <c r="Q336" s="34" t="n">
        <f aca="false">IF(L336&gt;$B$6,Q335,Q335+O336)</f>
        <v>20000</v>
      </c>
      <c r="R336" s="34" t="str">
        <f aca="false">IF(L336&gt;$B$6,"",Q336-MAX($Q$5:Q336))</f>
        <v/>
      </c>
    </row>
    <row r="337" customFormat="false" ht="15" hidden="false" customHeight="false" outlineLevel="0" collapsed="false">
      <c r="L337" s="0" t="n">
        <v>332</v>
      </c>
      <c r="M337" s="37" t="str">
        <f aca="false">IF(L337&gt;$B$6,"",INDEX(Journal!$P$7:$P$506,MATCH(L337,Journal!$AI$7:$AI$506,0)))</f>
        <v/>
      </c>
      <c r="N337" s="0" t="str">
        <f aca="false">IF(L337&gt;$B$6,"",INDEX(Journal!$A$7:$A$506,MATCH(L337,Journal!$AI$7:$AI$506,0)))</f>
        <v/>
      </c>
      <c r="O337" s="34" t="str">
        <f aca="false">IF(L337&gt;$B$6,"",INDEX(Journal!$AC$7:$AC$506,MATCH(L337,Journal!$AI$7:$AI$506,0)))</f>
        <v/>
      </c>
      <c r="P337" s="35" t="str">
        <f aca="false">IF(L337&gt;$B$6,"",INDEX(Journal!$AD$7:$AD$506,MATCH(L337,Journal!$AI$7:$AI$506,0)))</f>
        <v/>
      </c>
      <c r="Q337" s="34" t="n">
        <f aca="false">IF(L337&gt;$B$6,Q336,Q336+O337)</f>
        <v>20000</v>
      </c>
      <c r="R337" s="34" t="str">
        <f aca="false">IF(L337&gt;$B$6,"",Q337-MAX($Q$5:Q337))</f>
        <v/>
      </c>
    </row>
    <row r="338" customFormat="false" ht="15" hidden="false" customHeight="false" outlineLevel="0" collapsed="false">
      <c r="L338" s="0" t="n">
        <v>333</v>
      </c>
      <c r="M338" s="37" t="str">
        <f aca="false">IF(L338&gt;$B$6,"",INDEX(Journal!$P$7:$P$506,MATCH(L338,Journal!$AI$7:$AI$506,0)))</f>
        <v/>
      </c>
      <c r="N338" s="0" t="str">
        <f aca="false">IF(L338&gt;$B$6,"",INDEX(Journal!$A$7:$A$506,MATCH(L338,Journal!$AI$7:$AI$506,0)))</f>
        <v/>
      </c>
      <c r="O338" s="34" t="str">
        <f aca="false">IF(L338&gt;$B$6,"",INDEX(Journal!$AC$7:$AC$506,MATCH(L338,Journal!$AI$7:$AI$506,0)))</f>
        <v/>
      </c>
      <c r="P338" s="35" t="str">
        <f aca="false">IF(L338&gt;$B$6,"",INDEX(Journal!$AD$7:$AD$506,MATCH(L338,Journal!$AI$7:$AI$506,0)))</f>
        <v/>
      </c>
      <c r="Q338" s="34" t="n">
        <f aca="false">IF(L338&gt;$B$6,Q337,Q337+O338)</f>
        <v>20000</v>
      </c>
      <c r="R338" s="34" t="str">
        <f aca="false">IF(L338&gt;$B$6,"",Q338-MAX($Q$5:Q338))</f>
        <v/>
      </c>
    </row>
    <row r="339" customFormat="false" ht="15" hidden="false" customHeight="false" outlineLevel="0" collapsed="false">
      <c r="L339" s="0" t="n">
        <v>334</v>
      </c>
      <c r="M339" s="37" t="str">
        <f aca="false">IF(L339&gt;$B$6,"",INDEX(Journal!$P$7:$P$506,MATCH(L339,Journal!$AI$7:$AI$506,0)))</f>
        <v/>
      </c>
      <c r="N339" s="0" t="str">
        <f aca="false">IF(L339&gt;$B$6,"",INDEX(Journal!$A$7:$A$506,MATCH(L339,Journal!$AI$7:$AI$506,0)))</f>
        <v/>
      </c>
      <c r="O339" s="34" t="str">
        <f aca="false">IF(L339&gt;$B$6,"",INDEX(Journal!$AC$7:$AC$506,MATCH(L339,Journal!$AI$7:$AI$506,0)))</f>
        <v/>
      </c>
      <c r="P339" s="35" t="str">
        <f aca="false">IF(L339&gt;$B$6,"",INDEX(Journal!$AD$7:$AD$506,MATCH(L339,Journal!$AI$7:$AI$506,0)))</f>
        <v/>
      </c>
      <c r="Q339" s="34" t="n">
        <f aca="false">IF(L339&gt;$B$6,Q338,Q338+O339)</f>
        <v>20000</v>
      </c>
      <c r="R339" s="34" t="str">
        <f aca="false">IF(L339&gt;$B$6,"",Q339-MAX($Q$5:Q339))</f>
        <v/>
      </c>
    </row>
    <row r="340" customFormat="false" ht="15" hidden="false" customHeight="false" outlineLevel="0" collapsed="false">
      <c r="L340" s="0" t="n">
        <v>335</v>
      </c>
      <c r="M340" s="37" t="str">
        <f aca="false">IF(L340&gt;$B$6,"",INDEX(Journal!$P$7:$P$506,MATCH(L340,Journal!$AI$7:$AI$506,0)))</f>
        <v/>
      </c>
      <c r="N340" s="0" t="str">
        <f aca="false">IF(L340&gt;$B$6,"",INDEX(Journal!$A$7:$A$506,MATCH(L340,Journal!$AI$7:$AI$506,0)))</f>
        <v/>
      </c>
      <c r="O340" s="34" t="str">
        <f aca="false">IF(L340&gt;$B$6,"",INDEX(Journal!$AC$7:$AC$506,MATCH(L340,Journal!$AI$7:$AI$506,0)))</f>
        <v/>
      </c>
      <c r="P340" s="35" t="str">
        <f aca="false">IF(L340&gt;$B$6,"",INDEX(Journal!$AD$7:$AD$506,MATCH(L340,Journal!$AI$7:$AI$506,0)))</f>
        <v/>
      </c>
      <c r="Q340" s="34" t="n">
        <f aca="false">IF(L340&gt;$B$6,Q339,Q339+O340)</f>
        <v>20000</v>
      </c>
      <c r="R340" s="34" t="str">
        <f aca="false">IF(L340&gt;$B$6,"",Q340-MAX($Q$5:Q340))</f>
        <v/>
      </c>
    </row>
    <row r="341" customFormat="false" ht="15" hidden="false" customHeight="false" outlineLevel="0" collapsed="false">
      <c r="L341" s="0" t="n">
        <v>336</v>
      </c>
      <c r="M341" s="37" t="str">
        <f aca="false">IF(L341&gt;$B$6,"",INDEX(Journal!$P$7:$P$506,MATCH(L341,Journal!$AI$7:$AI$506,0)))</f>
        <v/>
      </c>
      <c r="N341" s="0" t="str">
        <f aca="false">IF(L341&gt;$B$6,"",INDEX(Journal!$A$7:$A$506,MATCH(L341,Journal!$AI$7:$AI$506,0)))</f>
        <v/>
      </c>
      <c r="O341" s="34" t="str">
        <f aca="false">IF(L341&gt;$B$6,"",INDEX(Journal!$AC$7:$AC$506,MATCH(L341,Journal!$AI$7:$AI$506,0)))</f>
        <v/>
      </c>
      <c r="P341" s="35" t="str">
        <f aca="false">IF(L341&gt;$B$6,"",INDEX(Journal!$AD$7:$AD$506,MATCH(L341,Journal!$AI$7:$AI$506,0)))</f>
        <v/>
      </c>
      <c r="Q341" s="34" t="n">
        <f aca="false">IF(L341&gt;$B$6,Q340,Q340+O341)</f>
        <v>20000</v>
      </c>
      <c r="R341" s="34" t="str">
        <f aca="false">IF(L341&gt;$B$6,"",Q341-MAX($Q$5:Q341))</f>
        <v/>
      </c>
    </row>
    <row r="342" customFormat="false" ht="15" hidden="false" customHeight="false" outlineLevel="0" collapsed="false">
      <c r="L342" s="0" t="n">
        <v>337</v>
      </c>
      <c r="M342" s="37" t="str">
        <f aca="false">IF(L342&gt;$B$6,"",INDEX(Journal!$P$7:$P$506,MATCH(L342,Journal!$AI$7:$AI$506,0)))</f>
        <v/>
      </c>
      <c r="N342" s="0" t="str">
        <f aca="false">IF(L342&gt;$B$6,"",INDEX(Journal!$A$7:$A$506,MATCH(L342,Journal!$AI$7:$AI$506,0)))</f>
        <v/>
      </c>
      <c r="O342" s="34" t="str">
        <f aca="false">IF(L342&gt;$B$6,"",INDEX(Journal!$AC$7:$AC$506,MATCH(L342,Journal!$AI$7:$AI$506,0)))</f>
        <v/>
      </c>
      <c r="P342" s="35" t="str">
        <f aca="false">IF(L342&gt;$B$6,"",INDEX(Journal!$AD$7:$AD$506,MATCH(L342,Journal!$AI$7:$AI$506,0)))</f>
        <v/>
      </c>
      <c r="Q342" s="34" t="n">
        <f aca="false">IF(L342&gt;$B$6,Q341,Q341+O342)</f>
        <v>20000</v>
      </c>
      <c r="R342" s="34" t="str">
        <f aca="false">IF(L342&gt;$B$6,"",Q342-MAX($Q$5:Q342))</f>
        <v/>
      </c>
    </row>
    <row r="343" customFormat="false" ht="15" hidden="false" customHeight="false" outlineLevel="0" collapsed="false">
      <c r="L343" s="0" t="n">
        <v>338</v>
      </c>
      <c r="M343" s="37" t="str">
        <f aca="false">IF(L343&gt;$B$6,"",INDEX(Journal!$P$7:$P$506,MATCH(L343,Journal!$AI$7:$AI$506,0)))</f>
        <v/>
      </c>
      <c r="N343" s="0" t="str">
        <f aca="false">IF(L343&gt;$B$6,"",INDEX(Journal!$A$7:$A$506,MATCH(L343,Journal!$AI$7:$AI$506,0)))</f>
        <v/>
      </c>
      <c r="O343" s="34" t="str">
        <f aca="false">IF(L343&gt;$B$6,"",INDEX(Journal!$AC$7:$AC$506,MATCH(L343,Journal!$AI$7:$AI$506,0)))</f>
        <v/>
      </c>
      <c r="P343" s="35" t="str">
        <f aca="false">IF(L343&gt;$B$6,"",INDEX(Journal!$AD$7:$AD$506,MATCH(L343,Journal!$AI$7:$AI$506,0)))</f>
        <v/>
      </c>
      <c r="Q343" s="34" t="n">
        <f aca="false">IF(L343&gt;$B$6,Q342,Q342+O343)</f>
        <v>20000</v>
      </c>
      <c r="R343" s="34" t="str">
        <f aca="false">IF(L343&gt;$B$6,"",Q343-MAX($Q$5:Q343))</f>
        <v/>
      </c>
    </row>
    <row r="344" customFormat="false" ht="15" hidden="false" customHeight="false" outlineLevel="0" collapsed="false">
      <c r="L344" s="0" t="n">
        <v>339</v>
      </c>
      <c r="M344" s="37" t="str">
        <f aca="false">IF(L344&gt;$B$6,"",INDEX(Journal!$P$7:$P$506,MATCH(L344,Journal!$AI$7:$AI$506,0)))</f>
        <v/>
      </c>
      <c r="N344" s="0" t="str">
        <f aca="false">IF(L344&gt;$B$6,"",INDEX(Journal!$A$7:$A$506,MATCH(L344,Journal!$AI$7:$AI$506,0)))</f>
        <v/>
      </c>
      <c r="O344" s="34" t="str">
        <f aca="false">IF(L344&gt;$B$6,"",INDEX(Journal!$AC$7:$AC$506,MATCH(L344,Journal!$AI$7:$AI$506,0)))</f>
        <v/>
      </c>
      <c r="P344" s="35" t="str">
        <f aca="false">IF(L344&gt;$B$6,"",INDEX(Journal!$AD$7:$AD$506,MATCH(L344,Journal!$AI$7:$AI$506,0)))</f>
        <v/>
      </c>
      <c r="Q344" s="34" t="n">
        <f aca="false">IF(L344&gt;$B$6,Q343,Q343+O344)</f>
        <v>20000</v>
      </c>
      <c r="R344" s="34" t="str">
        <f aca="false">IF(L344&gt;$B$6,"",Q344-MAX($Q$5:Q344))</f>
        <v/>
      </c>
    </row>
    <row r="345" customFormat="false" ht="15" hidden="false" customHeight="false" outlineLevel="0" collapsed="false">
      <c r="L345" s="0" t="n">
        <v>340</v>
      </c>
      <c r="M345" s="37" t="str">
        <f aca="false">IF(L345&gt;$B$6,"",INDEX(Journal!$P$7:$P$506,MATCH(L345,Journal!$AI$7:$AI$506,0)))</f>
        <v/>
      </c>
      <c r="N345" s="0" t="str">
        <f aca="false">IF(L345&gt;$B$6,"",INDEX(Journal!$A$7:$A$506,MATCH(L345,Journal!$AI$7:$AI$506,0)))</f>
        <v/>
      </c>
      <c r="O345" s="34" t="str">
        <f aca="false">IF(L345&gt;$B$6,"",INDEX(Journal!$AC$7:$AC$506,MATCH(L345,Journal!$AI$7:$AI$506,0)))</f>
        <v/>
      </c>
      <c r="P345" s="35" t="str">
        <f aca="false">IF(L345&gt;$B$6,"",INDEX(Journal!$AD$7:$AD$506,MATCH(L345,Journal!$AI$7:$AI$506,0)))</f>
        <v/>
      </c>
      <c r="Q345" s="34" t="n">
        <f aca="false">IF(L345&gt;$B$6,Q344,Q344+O345)</f>
        <v>20000</v>
      </c>
      <c r="R345" s="34" t="str">
        <f aca="false">IF(L345&gt;$B$6,"",Q345-MAX($Q$5:Q345))</f>
        <v/>
      </c>
    </row>
    <row r="346" customFormat="false" ht="15" hidden="false" customHeight="false" outlineLevel="0" collapsed="false">
      <c r="L346" s="0" t="n">
        <v>341</v>
      </c>
      <c r="M346" s="37" t="str">
        <f aca="false">IF(L346&gt;$B$6,"",INDEX(Journal!$P$7:$P$506,MATCH(L346,Journal!$AI$7:$AI$506,0)))</f>
        <v/>
      </c>
      <c r="N346" s="0" t="str">
        <f aca="false">IF(L346&gt;$B$6,"",INDEX(Journal!$A$7:$A$506,MATCH(L346,Journal!$AI$7:$AI$506,0)))</f>
        <v/>
      </c>
      <c r="O346" s="34" t="str">
        <f aca="false">IF(L346&gt;$B$6,"",INDEX(Journal!$AC$7:$AC$506,MATCH(L346,Journal!$AI$7:$AI$506,0)))</f>
        <v/>
      </c>
      <c r="P346" s="35" t="str">
        <f aca="false">IF(L346&gt;$B$6,"",INDEX(Journal!$AD$7:$AD$506,MATCH(L346,Journal!$AI$7:$AI$506,0)))</f>
        <v/>
      </c>
      <c r="Q346" s="34" t="n">
        <f aca="false">IF(L346&gt;$B$6,Q345,Q345+O346)</f>
        <v>20000</v>
      </c>
      <c r="R346" s="34" t="str">
        <f aca="false">IF(L346&gt;$B$6,"",Q346-MAX($Q$5:Q346))</f>
        <v/>
      </c>
    </row>
    <row r="347" customFormat="false" ht="15" hidden="false" customHeight="false" outlineLevel="0" collapsed="false">
      <c r="L347" s="0" t="n">
        <v>342</v>
      </c>
      <c r="M347" s="37" t="str">
        <f aca="false">IF(L347&gt;$B$6,"",INDEX(Journal!$P$7:$P$506,MATCH(L347,Journal!$AI$7:$AI$506,0)))</f>
        <v/>
      </c>
      <c r="N347" s="0" t="str">
        <f aca="false">IF(L347&gt;$B$6,"",INDEX(Journal!$A$7:$A$506,MATCH(L347,Journal!$AI$7:$AI$506,0)))</f>
        <v/>
      </c>
      <c r="O347" s="34" t="str">
        <f aca="false">IF(L347&gt;$B$6,"",INDEX(Journal!$AC$7:$AC$506,MATCH(L347,Journal!$AI$7:$AI$506,0)))</f>
        <v/>
      </c>
      <c r="P347" s="35" t="str">
        <f aca="false">IF(L347&gt;$B$6,"",INDEX(Journal!$AD$7:$AD$506,MATCH(L347,Journal!$AI$7:$AI$506,0)))</f>
        <v/>
      </c>
      <c r="Q347" s="34" t="n">
        <f aca="false">IF(L347&gt;$B$6,Q346,Q346+O347)</f>
        <v>20000</v>
      </c>
      <c r="R347" s="34" t="str">
        <f aca="false">IF(L347&gt;$B$6,"",Q347-MAX($Q$5:Q347))</f>
        <v/>
      </c>
    </row>
    <row r="348" customFormat="false" ht="15" hidden="false" customHeight="false" outlineLevel="0" collapsed="false">
      <c r="L348" s="0" t="n">
        <v>343</v>
      </c>
      <c r="M348" s="37" t="str">
        <f aca="false">IF(L348&gt;$B$6,"",INDEX(Journal!$P$7:$P$506,MATCH(L348,Journal!$AI$7:$AI$506,0)))</f>
        <v/>
      </c>
      <c r="N348" s="0" t="str">
        <f aca="false">IF(L348&gt;$B$6,"",INDEX(Journal!$A$7:$A$506,MATCH(L348,Journal!$AI$7:$AI$506,0)))</f>
        <v/>
      </c>
      <c r="O348" s="34" t="str">
        <f aca="false">IF(L348&gt;$B$6,"",INDEX(Journal!$AC$7:$AC$506,MATCH(L348,Journal!$AI$7:$AI$506,0)))</f>
        <v/>
      </c>
      <c r="P348" s="35" t="str">
        <f aca="false">IF(L348&gt;$B$6,"",INDEX(Journal!$AD$7:$AD$506,MATCH(L348,Journal!$AI$7:$AI$506,0)))</f>
        <v/>
      </c>
      <c r="Q348" s="34" t="n">
        <f aca="false">IF(L348&gt;$B$6,Q347,Q347+O348)</f>
        <v>20000</v>
      </c>
      <c r="R348" s="34" t="str">
        <f aca="false">IF(L348&gt;$B$6,"",Q348-MAX($Q$5:Q348))</f>
        <v/>
      </c>
    </row>
    <row r="349" customFormat="false" ht="15" hidden="false" customHeight="false" outlineLevel="0" collapsed="false">
      <c r="L349" s="0" t="n">
        <v>344</v>
      </c>
      <c r="M349" s="37" t="str">
        <f aca="false">IF(L349&gt;$B$6,"",INDEX(Journal!$P$7:$P$506,MATCH(L349,Journal!$AI$7:$AI$506,0)))</f>
        <v/>
      </c>
      <c r="N349" s="0" t="str">
        <f aca="false">IF(L349&gt;$B$6,"",INDEX(Journal!$A$7:$A$506,MATCH(L349,Journal!$AI$7:$AI$506,0)))</f>
        <v/>
      </c>
      <c r="O349" s="34" t="str">
        <f aca="false">IF(L349&gt;$B$6,"",INDEX(Journal!$AC$7:$AC$506,MATCH(L349,Journal!$AI$7:$AI$506,0)))</f>
        <v/>
      </c>
      <c r="P349" s="35" t="str">
        <f aca="false">IF(L349&gt;$B$6,"",INDEX(Journal!$AD$7:$AD$506,MATCH(L349,Journal!$AI$7:$AI$506,0)))</f>
        <v/>
      </c>
      <c r="Q349" s="34" t="n">
        <f aca="false">IF(L349&gt;$B$6,Q348,Q348+O349)</f>
        <v>20000</v>
      </c>
      <c r="R349" s="34" t="str">
        <f aca="false">IF(L349&gt;$B$6,"",Q349-MAX($Q$5:Q349))</f>
        <v/>
      </c>
    </row>
    <row r="350" customFormat="false" ht="15" hidden="false" customHeight="false" outlineLevel="0" collapsed="false">
      <c r="L350" s="0" t="n">
        <v>345</v>
      </c>
      <c r="M350" s="37" t="str">
        <f aca="false">IF(L350&gt;$B$6,"",INDEX(Journal!$P$7:$P$506,MATCH(L350,Journal!$AI$7:$AI$506,0)))</f>
        <v/>
      </c>
      <c r="N350" s="0" t="str">
        <f aca="false">IF(L350&gt;$B$6,"",INDEX(Journal!$A$7:$A$506,MATCH(L350,Journal!$AI$7:$AI$506,0)))</f>
        <v/>
      </c>
      <c r="O350" s="34" t="str">
        <f aca="false">IF(L350&gt;$B$6,"",INDEX(Journal!$AC$7:$AC$506,MATCH(L350,Journal!$AI$7:$AI$506,0)))</f>
        <v/>
      </c>
      <c r="P350" s="35" t="str">
        <f aca="false">IF(L350&gt;$B$6,"",INDEX(Journal!$AD$7:$AD$506,MATCH(L350,Journal!$AI$7:$AI$506,0)))</f>
        <v/>
      </c>
      <c r="Q350" s="34" t="n">
        <f aca="false">IF(L350&gt;$B$6,Q349,Q349+O350)</f>
        <v>20000</v>
      </c>
      <c r="R350" s="34" t="str">
        <f aca="false">IF(L350&gt;$B$6,"",Q350-MAX($Q$5:Q350))</f>
        <v/>
      </c>
    </row>
    <row r="351" customFormat="false" ht="15" hidden="false" customHeight="false" outlineLevel="0" collapsed="false">
      <c r="L351" s="0" t="n">
        <v>346</v>
      </c>
      <c r="M351" s="37" t="str">
        <f aca="false">IF(L351&gt;$B$6,"",INDEX(Journal!$P$7:$P$506,MATCH(L351,Journal!$AI$7:$AI$506,0)))</f>
        <v/>
      </c>
      <c r="N351" s="0" t="str">
        <f aca="false">IF(L351&gt;$B$6,"",INDEX(Journal!$A$7:$A$506,MATCH(L351,Journal!$AI$7:$AI$506,0)))</f>
        <v/>
      </c>
      <c r="O351" s="34" t="str">
        <f aca="false">IF(L351&gt;$B$6,"",INDEX(Journal!$AC$7:$AC$506,MATCH(L351,Journal!$AI$7:$AI$506,0)))</f>
        <v/>
      </c>
      <c r="P351" s="35" t="str">
        <f aca="false">IF(L351&gt;$B$6,"",INDEX(Journal!$AD$7:$AD$506,MATCH(L351,Journal!$AI$7:$AI$506,0)))</f>
        <v/>
      </c>
      <c r="Q351" s="34" t="n">
        <f aca="false">IF(L351&gt;$B$6,Q350,Q350+O351)</f>
        <v>20000</v>
      </c>
      <c r="R351" s="34" t="str">
        <f aca="false">IF(L351&gt;$B$6,"",Q351-MAX($Q$5:Q351))</f>
        <v/>
      </c>
    </row>
    <row r="352" customFormat="false" ht="15" hidden="false" customHeight="false" outlineLevel="0" collapsed="false">
      <c r="L352" s="0" t="n">
        <v>347</v>
      </c>
      <c r="M352" s="37" t="str">
        <f aca="false">IF(L352&gt;$B$6,"",INDEX(Journal!$P$7:$P$506,MATCH(L352,Journal!$AI$7:$AI$506,0)))</f>
        <v/>
      </c>
      <c r="N352" s="0" t="str">
        <f aca="false">IF(L352&gt;$B$6,"",INDEX(Journal!$A$7:$A$506,MATCH(L352,Journal!$AI$7:$AI$506,0)))</f>
        <v/>
      </c>
      <c r="O352" s="34" t="str">
        <f aca="false">IF(L352&gt;$B$6,"",INDEX(Journal!$AC$7:$AC$506,MATCH(L352,Journal!$AI$7:$AI$506,0)))</f>
        <v/>
      </c>
      <c r="P352" s="35" t="str">
        <f aca="false">IF(L352&gt;$B$6,"",INDEX(Journal!$AD$7:$AD$506,MATCH(L352,Journal!$AI$7:$AI$506,0)))</f>
        <v/>
      </c>
      <c r="Q352" s="34" t="n">
        <f aca="false">IF(L352&gt;$B$6,Q351,Q351+O352)</f>
        <v>20000</v>
      </c>
      <c r="R352" s="34" t="str">
        <f aca="false">IF(L352&gt;$B$6,"",Q352-MAX($Q$5:Q352))</f>
        <v/>
      </c>
    </row>
    <row r="353" customFormat="false" ht="15" hidden="false" customHeight="false" outlineLevel="0" collapsed="false">
      <c r="L353" s="0" t="n">
        <v>348</v>
      </c>
      <c r="M353" s="37" t="str">
        <f aca="false">IF(L353&gt;$B$6,"",INDEX(Journal!$P$7:$P$506,MATCH(L353,Journal!$AI$7:$AI$506,0)))</f>
        <v/>
      </c>
      <c r="N353" s="0" t="str">
        <f aca="false">IF(L353&gt;$B$6,"",INDEX(Journal!$A$7:$A$506,MATCH(L353,Journal!$AI$7:$AI$506,0)))</f>
        <v/>
      </c>
      <c r="O353" s="34" t="str">
        <f aca="false">IF(L353&gt;$B$6,"",INDEX(Journal!$AC$7:$AC$506,MATCH(L353,Journal!$AI$7:$AI$506,0)))</f>
        <v/>
      </c>
      <c r="P353" s="35" t="str">
        <f aca="false">IF(L353&gt;$B$6,"",INDEX(Journal!$AD$7:$AD$506,MATCH(L353,Journal!$AI$7:$AI$506,0)))</f>
        <v/>
      </c>
      <c r="Q353" s="34" t="n">
        <f aca="false">IF(L353&gt;$B$6,Q352,Q352+O353)</f>
        <v>20000</v>
      </c>
      <c r="R353" s="34" t="str">
        <f aca="false">IF(L353&gt;$B$6,"",Q353-MAX($Q$5:Q353))</f>
        <v/>
      </c>
    </row>
    <row r="354" customFormat="false" ht="15" hidden="false" customHeight="false" outlineLevel="0" collapsed="false">
      <c r="L354" s="0" t="n">
        <v>349</v>
      </c>
      <c r="M354" s="37" t="str">
        <f aca="false">IF(L354&gt;$B$6,"",INDEX(Journal!$P$7:$P$506,MATCH(L354,Journal!$AI$7:$AI$506,0)))</f>
        <v/>
      </c>
      <c r="N354" s="0" t="str">
        <f aca="false">IF(L354&gt;$B$6,"",INDEX(Journal!$A$7:$A$506,MATCH(L354,Journal!$AI$7:$AI$506,0)))</f>
        <v/>
      </c>
      <c r="O354" s="34" t="str">
        <f aca="false">IF(L354&gt;$B$6,"",INDEX(Journal!$AC$7:$AC$506,MATCH(L354,Journal!$AI$7:$AI$506,0)))</f>
        <v/>
      </c>
      <c r="P354" s="35" t="str">
        <f aca="false">IF(L354&gt;$B$6,"",INDEX(Journal!$AD$7:$AD$506,MATCH(L354,Journal!$AI$7:$AI$506,0)))</f>
        <v/>
      </c>
      <c r="Q354" s="34" t="n">
        <f aca="false">IF(L354&gt;$B$6,Q353,Q353+O354)</f>
        <v>20000</v>
      </c>
      <c r="R354" s="34" t="str">
        <f aca="false">IF(L354&gt;$B$6,"",Q354-MAX($Q$5:Q354))</f>
        <v/>
      </c>
    </row>
    <row r="355" customFormat="false" ht="15" hidden="false" customHeight="false" outlineLevel="0" collapsed="false">
      <c r="L355" s="0" t="n">
        <v>350</v>
      </c>
      <c r="M355" s="37" t="str">
        <f aca="false">IF(L355&gt;$B$6,"",INDEX(Journal!$P$7:$P$506,MATCH(L355,Journal!$AI$7:$AI$506,0)))</f>
        <v/>
      </c>
      <c r="N355" s="0" t="str">
        <f aca="false">IF(L355&gt;$B$6,"",INDEX(Journal!$A$7:$A$506,MATCH(L355,Journal!$AI$7:$AI$506,0)))</f>
        <v/>
      </c>
      <c r="O355" s="34" t="str">
        <f aca="false">IF(L355&gt;$B$6,"",INDEX(Journal!$AC$7:$AC$506,MATCH(L355,Journal!$AI$7:$AI$506,0)))</f>
        <v/>
      </c>
      <c r="P355" s="35" t="str">
        <f aca="false">IF(L355&gt;$B$6,"",INDEX(Journal!$AD$7:$AD$506,MATCH(L355,Journal!$AI$7:$AI$506,0)))</f>
        <v/>
      </c>
      <c r="Q355" s="34" t="n">
        <f aca="false">IF(L355&gt;$B$6,Q354,Q354+O355)</f>
        <v>20000</v>
      </c>
      <c r="R355" s="34" t="str">
        <f aca="false">IF(L355&gt;$B$6,"",Q355-MAX($Q$5:Q355))</f>
        <v/>
      </c>
    </row>
    <row r="356" customFormat="false" ht="15" hidden="false" customHeight="false" outlineLevel="0" collapsed="false">
      <c r="L356" s="0" t="n">
        <v>351</v>
      </c>
      <c r="M356" s="37" t="str">
        <f aca="false">IF(L356&gt;$B$6,"",INDEX(Journal!$P$7:$P$506,MATCH(L356,Journal!$AI$7:$AI$506,0)))</f>
        <v/>
      </c>
      <c r="N356" s="0" t="str">
        <f aca="false">IF(L356&gt;$B$6,"",INDEX(Journal!$A$7:$A$506,MATCH(L356,Journal!$AI$7:$AI$506,0)))</f>
        <v/>
      </c>
      <c r="O356" s="34" t="str">
        <f aca="false">IF(L356&gt;$B$6,"",INDEX(Journal!$AC$7:$AC$506,MATCH(L356,Journal!$AI$7:$AI$506,0)))</f>
        <v/>
      </c>
      <c r="P356" s="35" t="str">
        <f aca="false">IF(L356&gt;$B$6,"",INDEX(Journal!$AD$7:$AD$506,MATCH(L356,Journal!$AI$7:$AI$506,0)))</f>
        <v/>
      </c>
      <c r="Q356" s="34" t="n">
        <f aca="false">IF(L356&gt;$B$6,Q355,Q355+O356)</f>
        <v>20000</v>
      </c>
      <c r="R356" s="34" t="str">
        <f aca="false">IF(L356&gt;$B$6,"",Q356-MAX($Q$5:Q356))</f>
        <v/>
      </c>
    </row>
    <row r="357" customFormat="false" ht="15" hidden="false" customHeight="false" outlineLevel="0" collapsed="false">
      <c r="L357" s="0" t="n">
        <v>352</v>
      </c>
      <c r="M357" s="37" t="str">
        <f aca="false">IF(L357&gt;$B$6,"",INDEX(Journal!$P$7:$P$506,MATCH(L357,Journal!$AI$7:$AI$506,0)))</f>
        <v/>
      </c>
      <c r="N357" s="0" t="str">
        <f aca="false">IF(L357&gt;$B$6,"",INDEX(Journal!$A$7:$A$506,MATCH(L357,Journal!$AI$7:$AI$506,0)))</f>
        <v/>
      </c>
      <c r="O357" s="34" t="str">
        <f aca="false">IF(L357&gt;$B$6,"",INDEX(Journal!$AC$7:$AC$506,MATCH(L357,Journal!$AI$7:$AI$506,0)))</f>
        <v/>
      </c>
      <c r="P357" s="35" t="str">
        <f aca="false">IF(L357&gt;$B$6,"",INDEX(Journal!$AD$7:$AD$506,MATCH(L357,Journal!$AI$7:$AI$506,0)))</f>
        <v/>
      </c>
      <c r="Q357" s="34" t="n">
        <f aca="false">IF(L357&gt;$B$6,Q356,Q356+O357)</f>
        <v>20000</v>
      </c>
      <c r="R357" s="34" t="str">
        <f aca="false">IF(L357&gt;$B$6,"",Q357-MAX($Q$5:Q357))</f>
        <v/>
      </c>
    </row>
    <row r="358" customFormat="false" ht="15" hidden="false" customHeight="false" outlineLevel="0" collapsed="false">
      <c r="L358" s="0" t="n">
        <v>353</v>
      </c>
      <c r="M358" s="37" t="str">
        <f aca="false">IF(L358&gt;$B$6,"",INDEX(Journal!$P$7:$P$506,MATCH(L358,Journal!$AI$7:$AI$506,0)))</f>
        <v/>
      </c>
      <c r="N358" s="0" t="str">
        <f aca="false">IF(L358&gt;$B$6,"",INDEX(Journal!$A$7:$A$506,MATCH(L358,Journal!$AI$7:$AI$506,0)))</f>
        <v/>
      </c>
      <c r="O358" s="34" t="str">
        <f aca="false">IF(L358&gt;$B$6,"",INDEX(Journal!$AC$7:$AC$506,MATCH(L358,Journal!$AI$7:$AI$506,0)))</f>
        <v/>
      </c>
      <c r="P358" s="35" t="str">
        <f aca="false">IF(L358&gt;$B$6,"",INDEX(Journal!$AD$7:$AD$506,MATCH(L358,Journal!$AI$7:$AI$506,0)))</f>
        <v/>
      </c>
      <c r="Q358" s="34" t="n">
        <f aca="false">IF(L358&gt;$B$6,Q357,Q357+O358)</f>
        <v>20000</v>
      </c>
      <c r="R358" s="34" t="str">
        <f aca="false">IF(L358&gt;$B$6,"",Q358-MAX($Q$5:Q358))</f>
        <v/>
      </c>
    </row>
    <row r="359" customFormat="false" ht="15" hidden="false" customHeight="false" outlineLevel="0" collapsed="false">
      <c r="L359" s="0" t="n">
        <v>354</v>
      </c>
      <c r="M359" s="37" t="str">
        <f aca="false">IF(L359&gt;$B$6,"",INDEX(Journal!$P$7:$P$506,MATCH(L359,Journal!$AI$7:$AI$506,0)))</f>
        <v/>
      </c>
      <c r="N359" s="0" t="str">
        <f aca="false">IF(L359&gt;$B$6,"",INDEX(Journal!$A$7:$A$506,MATCH(L359,Journal!$AI$7:$AI$506,0)))</f>
        <v/>
      </c>
      <c r="O359" s="34" t="str">
        <f aca="false">IF(L359&gt;$B$6,"",INDEX(Journal!$AC$7:$AC$506,MATCH(L359,Journal!$AI$7:$AI$506,0)))</f>
        <v/>
      </c>
      <c r="P359" s="35" t="str">
        <f aca="false">IF(L359&gt;$B$6,"",INDEX(Journal!$AD$7:$AD$506,MATCH(L359,Journal!$AI$7:$AI$506,0)))</f>
        <v/>
      </c>
      <c r="Q359" s="34" t="n">
        <f aca="false">IF(L359&gt;$B$6,Q358,Q358+O359)</f>
        <v>20000</v>
      </c>
      <c r="R359" s="34" t="str">
        <f aca="false">IF(L359&gt;$B$6,"",Q359-MAX($Q$5:Q359))</f>
        <v/>
      </c>
    </row>
    <row r="360" customFormat="false" ht="15" hidden="false" customHeight="false" outlineLevel="0" collapsed="false">
      <c r="L360" s="0" t="n">
        <v>355</v>
      </c>
      <c r="M360" s="37" t="str">
        <f aca="false">IF(L360&gt;$B$6,"",INDEX(Journal!$P$7:$P$506,MATCH(L360,Journal!$AI$7:$AI$506,0)))</f>
        <v/>
      </c>
      <c r="N360" s="0" t="str">
        <f aca="false">IF(L360&gt;$B$6,"",INDEX(Journal!$A$7:$A$506,MATCH(L360,Journal!$AI$7:$AI$506,0)))</f>
        <v/>
      </c>
      <c r="O360" s="34" t="str">
        <f aca="false">IF(L360&gt;$B$6,"",INDEX(Journal!$AC$7:$AC$506,MATCH(L360,Journal!$AI$7:$AI$506,0)))</f>
        <v/>
      </c>
      <c r="P360" s="35" t="str">
        <f aca="false">IF(L360&gt;$B$6,"",INDEX(Journal!$AD$7:$AD$506,MATCH(L360,Journal!$AI$7:$AI$506,0)))</f>
        <v/>
      </c>
      <c r="Q360" s="34" t="n">
        <f aca="false">IF(L360&gt;$B$6,Q359,Q359+O360)</f>
        <v>20000</v>
      </c>
      <c r="R360" s="34" t="str">
        <f aca="false">IF(L360&gt;$B$6,"",Q360-MAX($Q$5:Q360))</f>
        <v/>
      </c>
    </row>
    <row r="361" customFormat="false" ht="15" hidden="false" customHeight="false" outlineLevel="0" collapsed="false">
      <c r="L361" s="0" t="n">
        <v>356</v>
      </c>
      <c r="M361" s="37" t="str">
        <f aca="false">IF(L361&gt;$B$6,"",INDEX(Journal!$P$7:$P$506,MATCH(L361,Journal!$AI$7:$AI$506,0)))</f>
        <v/>
      </c>
      <c r="N361" s="0" t="str">
        <f aca="false">IF(L361&gt;$B$6,"",INDEX(Journal!$A$7:$A$506,MATCH(L361,Journal!$AI$7:$AI$506,0)))</f>
        <v/>
      </c>
      <c r="O361" s="34" t="str">
        <f aca="false">IF(L361&gt;$B$6,"",INDEX(Journal!$AC$7:$AC$506,MATCH(L361,Journal!$AI$7:$AI$506,0)))</f>
        <v/>
      </c>
      <c r="P361" s="35" t="str">
        <f aca="false">IF(L361&gt;$B$6,"",INDEX(Journal!$AD$7:$AD$506,MATCH(L361,Journal!$AI$7:$AI$506,0)))</f>
        <v/>
      </c>
      <c r="Q361" s="34" t="n">
        <f aca="false">IF(L361&gt;$B$6,Q360,Q360+O361)</f>
        <v>20000</v>
      </c>
      <c r="R361" s="34" t="str">
        <f aca="false">IF(L361&gt;$B$6,"",Q361-MAX($Q$5:Q361))</f>
        <v/>
      </c>
    </row>
    <row r="362" customFormat="false" ht="15" hidden="false" customHeight="false" outlineLevel="0" collapsed="false">
      <c r="L362" s="0" t="n">
        <v>357</v>
      </c>
      <c r="M362" s="37" t="str">
        <f aca="false">IF(L362&gt;$B$6,"",INDEX(Journal!$P$7:$P$506,MATCH(L362,Journal!$AI$7:$AI$506,0)))</f>
        <v/>
      </c>
      <c r="N362" s="0" t="str">
        <f aca="false">IF(L362&gt;$B$6,"",INDEX(Journal!$A$7:$A$506,MATCH(L362,Journal!$AI$7:$AI$506,0)))</f>
        <v/>
      </c>
      <c r="O362" s="34" t="str">
        <f aca="false">IF(L362&gt;$B$6,"",INDEX(Journal!$AC$7:$AC$506,MATCH(L362,Journal!$AI$7:$AI$506,0)))</f>
        <v/>
      </c>
      <c r="P362" s="35" t="str">
        <f aca="false">IF(L362&gt;$B$6,"",INDEX(Journal!$AD$7:$AD$506,MATCH(L362,Journal!$AI$7:$AI$506,0)))</f>
        <v/>
      </c>
      <c r="Q362" s="34" t="n">
        <f aca="false">IF(L362&gt;$B$6,Q361,Q361+O362)</f>
        <v>20000</v>
      </c>
      <c r="R362" s="34" t="str">
        <f aca="false">IF(L362&gt;$B$6,"",Q362-MAX($Q$5:Q362))</f>
        <v/>
      </c>
    </row>
    <row r="363" customFormat="false" ht="15" hidden="false" customHeight="false" outlineLevel="0" collapsed="false">
      <c r="L363" s="0" t="n">
        <v>358</v>
      </c>
      <c r="M363" s="37" t="str">
        <f aca="false">IF(L363&gt;$B$6,"",INDEX(Journal!$P$7:$P$506,MATCH(L363,Journal!$AI$7:$AI$506,0)))</f>
        <v/>
      </c>
      <c r="N363" s="0" t="str">
        <f aca="false">IF(L363&gt;$B$6,"",INDEX(Journal!$A$7:$A$506,MATCH(L363,Journal!$AI$7:$AI$506,0)))</f>
        <v/>
      </c>
      <c r="O363" s="34" t="str">
        <f aca="false">IF(L363&gt;$B$6,"",INDEX(Journal!$AC$7:$AC$506,MATCH(L363,Journal!$AI$7:$AI$506,0)))</f>
        <v/>
      </c>
      <c r="P363" s="35" t="str">
        <f aca="false">IF(L363&gt;$B$6,"",INDEX(Journal!$AD$7:$AD$506,MATCH(L363,Journal!$AI$7:$AI$506,0)))</f>
        <v/>
      </c>
      <c r="Q363" s="34" t="n">
        <f aca="false">IF(L363&gt;$B$6,Q362,Q362+O363)</f>
        <v>20000</v>
      </c>
      <c r="R363" s="34" t="str">
        <f aca="false">IF(L363&gt;$B$6,"",Q363-MAX($Q$5:Q363))</f>
        <v/>
      </c>
    </row>
    <row r="364" customFormat="false" ht="15" hidden="false" customHeight="false" outlineLevel="0" collapsed="false">
      <c r="L364" s="0" t="n">
        <v>359</v>
      </c>
      <c r="M364" s="37" t="str">
        <f aca="false">IF(L364&gt;$B$6,"",INDEX(Journal!$P$7:$P$506,MATCH(L364,Journal!$AI$7:$AI$506,0)))</f>
        <v/>
      </c>
      <c r="N364" s="0" t="str">
        <f aca="false">IF(L364&gt;$B$6,"",INDEX(Journal!$A$7:$A$506,MATCH(L364,Journal!$AI$7:$AI$506,0)))</f>
        <v/>
      </c>
      <c r="O364" s="34" t="str">
        <f aca="false">IF(L364&gt;$B$6,"",INDEX(Journal!$AC$7:$AC$506,MATCH(L364,Journal!$AI$7:$AI$506,0)))</f>
        <v/>
      </c>
      <c r="P364" s="35" t="str">
        <f aca="false">IF(L364&gt;$B$6,"",INDEX(Journal!$AD$7:$AD$506,MATCH(L364,Journal!$AI$7:$AI$506,0)))</f>
        <v/>
      </c>
      <c r="Q364" s="34" t="n">
        <f aca="false">IF(L364&gt;$B$6,Q363,Q363+O364)</f>
        <v>20000</v>
      </c>
      <c r="R364" s="34" t="str">
        <f aca="false">IF(L364&gt;$B$6,"",Q364-MAX($Q$5:Q364))</f>
        <v/>
      </c>
    </row>
    <row r="365" customFormat="false" ht="15" hidden="false" customHeight="false" outlineLevel="0" collapsed="false">
      <c r="L365" s="0" t="n">
        <v>360</v>
      </c>
      <c r="M365" s="37" t="str">
        <f aca="false">IF(L365&gt;$B$6,"",INDEX(Journal!$P$7:$P$506,MATCH(L365,Journal!$AI$7:$AI$506,0)))</f>
        <v/>
      </c>
      <c r="N365" s="0" t="str">
        <f aca="false">IF(L365&gt;$B$6,"",INDEX(Journal!$A$7:$A$506,MATCH(L365,Journal!$AI$7:$AI$506,0)))</f>
        <v/>
      </c>
      <c r="O365" s="34" t="str">
        <f aca="false">IF(L365&gt;$B$6,"",INDEX(Journal!$AC$7:$AC$506,MATCH(L365,Journal!$AI$7:$AI$506,0)))</f>
        <v/>
      </c>
      <c r="P365" s="35" t="str">
        <f aca="false">IF(L365&gt;$B$6,"",INDEX(Journal!$AD$7:$AD$506,MATCH(L365,Journal!$AI$7:$AI$506,0)))</f>
        <v/>
      </c>
      <c r="Q365" s="34" t="n">
        <f aca="false">IF(L365&gt;$B$6,Q364,Q364+O365)</f>
        <v>20000</v>
      </c>
      <c r="R365" s="34" t="str">
        <f aca="false">IF(L365&gt;$B$6,"",Q365-MAX($Q$5:Q365))</f>
        <v/>
      </c>
    </row>
    <row r="366" customFormat="false" ht="15" hidden="false" customHeight="false" outlineLevel="0" collapsed="false">
      <c r="L366" s="0" t="n">
        <v>361</v>
      </c>
      <c r="M366" s="37" t="str">
        <f aca="false">IF(L366&gt;$B$6,"",INDEX(Journal!$P$7:$P$506,MATCH(L366,Journal!$AI$7:$AI$506,0)))</f>
        <v/>
      </c>
      <c r="N366" s="0" t="str">
        <f aca="false">IF(L366&gt;$B$6,"",INDEX(Journal!$A$7:$A$506,MATCH(L366,Journal!$AI$7:$AI$506,0)))</f>
        <v/>
      </c>
      <c r="O366" s="34" t="str">
        <f aca="false">IF(L366&gt;$B$6,"",INDEX(Journal!$AC$7:$AC$506,MATCH(L366,Journal!$AI$7:$AI$506,0)))</f>
        <v/>
      </c>
      <c r="P366" s="35" t="str">
        <f aca="false">IF(L366&gt;$B$6,"",INDEX(Journal!$AD$7:$AD$506,MATCH(L366,Journal!$AI$7:$AI$506,0)))</f>
        <v/>
      </c>
      <c r="Q366" s="34" t="n">
        <f aca="false">IF(L366&gt;$B$6,Q365,Q365+O366)</f>
        <v>20000</v>
      </c>
      <c r="R366" s="34" t="str">
        <f aca="false">IF(L366&gt;$B$6,"",Q366-MAX($Q$5:Q366))</f>
        <v/>
      </c>
    </row>
    <row r="367" customFormat="false" ht="15" hidden="false" customHeight="false" outlineLevel="0" collapsed="false">
      <c r="L367" s="0" t="n">
        <v>362</v>
      </c>
      <c r="M367" s="37" t="str">
        <f aca="false">IF(L367&gt;$B$6,"",INDEX(Journal!$P$7:$P$506,MATCH(L367,Journal!$AI$7:$AI$506,0)))</f>
        <v/>
      </c>
      <c r="N367" s="0" t="str">
        <f aca="false">IF(L367&gt;$B$6,"",INDEX(Journal!$A$7:$A$506,MATCH(L367,Journal!$AI$7:$AI$506,0)))</f>
        <v/>
      </c>
      <c r="O367" s="34" t="str">
        <f aca="false">IF(L367&gt;$B$6,"",INDEX(Journal!$AC$7:$AC$506,MATCH(L367,Journal!$AI$7:$AI$506,0)))</f>
        <v/>
      </c>
      <c r="P367" s="35" t="str">
        <f aca="false">IF(L367&gt;$B$6,"",INDEX(Journal!$AD$7:$AD$506,MATCH(L367,Journal!$AI$7:$AI$506,0)))</f>
        <v/>
      </c>
      <c r="Q367" s="34" t="n">
        <f aca="false">IF(L367&gt;$B$6,Q366,Q366+O367)</f>
        <v>20000</v>
      </c>
      <c r="R367" s="34" t="str">
        <f aca="false">IF(L367&gt;$B$6,"",Q367-MAX($Q$5:Q367))</f>
        <v/>
      </c>
    </row>
    <row r="368" customFormat="false" ht="15" hidden="false" customHeight="false" outlineLevel="0" collapsed="false">
      <c r="L368" s="0" t="n">
        <v>363</v>
      </c>
      <c r="M368" s="37" t="str">
        <f aca="false">IF(L368&gt;$B$6,"",INDEX(Journal!$P$7:$P$506,MATCH(L368,Journal!$AI$7:$AI$506,0)))</f>
        <v/>
      </c>
      <c r="N368" s="0" t="str">
        <f aca="false">IF(L368&gt;$B$6,"",INDEX(Journal!$A$7:$A$506,MATCH(L368,Journal!$AI$7:$AI$506,0)))</f>
        <v/>
      </c>
      <c r="O368" s="34" t="str">
        <f aca="false">IF(L368&gt;$B$6,"",INDEX(Journal!$AC$7:$AC$506,MATCH(L368,Journal!$AI$7:$AI$506,0)))</f>
        <v/>
      </c>
      <c r="P368" s="35" t="str">
        <f aca="false">IF(L368&gt;$B$6,"",INDEX(Journal!$AD$7:$AD$506,MATCH(L368,Journal!$AI$7:$AI$506,0)))</f>
        <v/>
      </c>
      <c r="Q368" s="34" t="n">
        <f aca="false">IF(L368&gt;$B$6,Q367,Q367+O368)</f>
        <v>20000</v>
      </c>
      <c r="R368" s="34" t="str">
        <f aca="false">IF(L368&gt;$B$6,"",Q368-MAX($Q$5:Q368))</f>
        <v/>
      </c>
    </row>
    <row r="369" customFormat="false" ht="15" hidden="false" customHeight="false" outlineLevel="0" collapsed="false">
      <c r="L369" s="0" t="n">
        <v>364</v>
      </c>
      <c r="M369" s="37" t="str">
        <f aca="false">IF(L369&gt;$B$6,"",INDEX(Journal!$P$7:$P$506,MATCH(L369,Journal!$AI$7:$AI$506,0)))</f>
        <v/>
      </c>
      <c r="N369" s="0" t="str">
        <f aca="false">IF(L369&gt;$B$6,"",INDEX(Journal!$A$7:$A$506,MATCH(L369,Journal!$AI$7:$AI$506,0)))</f>
        <v/>
      </c>
      <c r="O369" s="34" t="str">
        <f aca="false">IF(L369&gt;$B$6,"",INDEX(Journal!$AC$7:$AC$506,MATCH(L369,Journal!$AI$7:$AI$506,0)))</f>
        <v/>
      </c>
      <c r="P369" s="35" t="str">
        <f aca="false">IF(L369&gt;$B$6,"",INDEX(Journal!$AD$7:$AD$506,MATCH(L369,Journal!$AI$7:$AI$506,0)))</f>
        <v/>
      </c>
      <c r="Q369" s="34" t="n">
        <f aca="false">IF(L369&gt;$B$6,Q368,Q368+O369)</f>
        <v>20000</v>
      </c>
      <c r="R369" s="34" t="str">
        <f aca="false">IF(L369&gt;$B$6,"",Q369-MAX($Q$5:Q369))</f>
        <v/>
      </c>
    </row>
    <row r="370" customFormat="false" ht="15" hidden="false" customHeight="false" outlineLevel="0" collapsed="false">
      <c r="L370" s="0" t="n">
        <v>365</v>
      </c>
      <c r="M370" s="37" t="str">
        <f aca="false">IF(L370&gt;$B$6,"",INDEX(Journal!$P$7:$P$506,MATCH(L370,Journal!$AI$7:$AI$506,0)))</f>
        <v/>
      </c>
      <c r="N370" s="0" t="str">
        <f aca="false">IF(L370&gt;$B$6,"",INDEX(Journal!$A$7:$A$506,MATCH(L370,Journal!$AI$7:$AI$506,0)))</f>
        <v/>
      </c>
      <c r="O370" s="34" t="str">
        <f aca="false">IF(L370&gt;$B$6,"",INDEX(Journal!$AC$7:$AC$506,MATCH(L370,Journal!$AI$7:$AI$506,0)))</f>
        <v/>
      </c>
      <c r="P370" s="35" t="str">
        <f aca="false">IF(L370&gt;$B$6,"",INDEX(Journal!$AD$7:$AD$506,MATCH(L370,Journal!$AI$7:$AI$506,0)))</f>
        <v/>
      </c>
      <c r="Q370" s="34" t="n">
        <f aca="false">IF(L370&gt;$B$6,Q369,Q369+O370)</f>
        <v>20000</v>
      </c>
      <c r="R370" s="34" t="str">
        <f aca="false">IF(L370&gt;$B$6,"",Q370-MAX($Q$5:Q370))</f>
        <v/>
      </c>
    </row>
    <row r="371" customFormat="false" ht="15" hidden="false" customHeight="false" outlineLevel="0" collapsed="false">
      <c r="L371" s="0" t="n">
        <v>366</v>
      </c>
      <c r="M371" s="37" t="str">
        <f aca="false">IF(L371&gt;$B$6,"",INDEX(Journal!$P$7:$P$506,MATCH(L371,Journal!$AI$7:$AI$506,0)))</f>
        <v/>
      </c>
      <c r="N371" s="0" t="str">
        <f aca="false">IF(L371&gt;$B$6,"",INDEX(Journal!$A$7:$A$506,MATCH(L371,Journal!$AI$7:$AI$506,0)))</f>
        <v/>
      </c>
      <c r="O371" s="34" t="str">
        <f aca="false">IF(L371&gt;$B$6,"",INDEX(Journal!$AC$7:$AC$506,MATCH(L371,Journal!$AI$7:$AI$506,0)))</f>
        <v/>
      </c>
      <c r="P371" s="35" t="str">
        <f aca="false">IF(L371&gt;$B$6,"",INDEX(Journal!$AD$7:$AD$506,MATCH(L371,Journal!$AI$7:$AI$506,0)))</f>
        <v/>
      </c>
      <c r="Q371" s="34" t="n">
        <f aca="false">IF(L371&gt;$B$6,Q370,Q370+O371)</f>
        <v>20000</v>
      </c>
      <c r="R371" s="34" t="str">
        <f aca="false">IF(L371&gt;$B$6,"",Q371-MAX($Q$5:Q371))</f>
        <v/>
      </c>
    </row>
    <row r="372" customFormat="false" ht="15" hidden="false" customHeight="false" outlineLevel="0" collapsed="false">
      <c r="L372" s="0" t="n">
        <v>367</v>
      </c>
      <c r="M372" s="37" t="str">
        <f aca="false">IF(L372&gt;$B$6,"",INDEX(Journal!$P$7:$P$506,MATCH(L372,Journal!$AI$7:$AI$506,0)))</f>
        <v/>
      </c>
      <c r="N372" s="0" t="str">
        <f aca="false">IF(L372&gt;$B$6,"",INDEX(Journal!$A$7:$A$506,MATCH(L372,Journal!$AI$7:$AI$506,0)))</f>
        <v/>
      </c>
      <c r="O372" s="34" t="str">
        <f aca="false">IF(L372&gt;$B$6,"",INDEX(Journal!$AC$7:$AC$506,MATCH(L372,Journal!$AI$7:$AI$506,0)))</f>
        <v/>
      </c>
      <c r="P372" s="35" t="str">
        <f aca="false">IF(L372&gt;$B$6,"",INDEX(Journal!$AD$7:$AD$506,MATCH(L372,Journal!$AI$7:$AI$506,0)))</f>
        <v/>
      </c>
      <c r="Q372" s="34" t="n">
        <f aca="false">IF(L372&gt;$B$6,Q371,Q371+O372)</f>
        <v>20000</v>
      </c>
      <c r="R372" s="34" t="str">
        <f aca="false">IF(L372&gt;$B$6,"",Q372-MAX($Q$5:Q372))</f>
        <v/>
      </c>
    </row>
    <row r="373" customFormat="false" ht="15" hidden="false" customHeight="false" outlineLevel="0" collapsed="false">
      <c r="L373" s="0" t="n">
        <v>368</v>
      </c>
      <c r="M373" s="37" t="str">
        <f aca="false">IF(L373&gt;$B$6,"",INDEX(Journal!$P$7:$P$506,MATCH(L373,Journal!$AI$7:$AI$506,0)))</f>
        <v/>
      </c>
      <c r="N373" s="0" t="str">
        <f aca="false">IF(L373&gt;$B$6,"",INDEX(Journal!$A$7:$A$506,MATCH(L373,Journal!$AI$7:$AI$506,0)))</f>
        <v/>
      </c>
      <c r="O373" s="34" t="str">
        <f aca="false">IF(L373&gt;$B$6,"",INDEX(Journal!$AC$7:$AC$506,MATCH(L373,Journal!$AI$7:$AI$506,0)))</f>
        <v/>
      </c>
      <c r="P373" s="35" t="str">
        <f aca="false">IF(L373&gt;$B$6,"",INDEX(Journal!$AD$7:$AD$506,MATCH(L373,Journal!$AI$7:$AI$506,0)))</f>
        <v/>
      </c>
      <c r="Q373" s="34" t="n">
        <f aca="false">IF(L373&gt;$B$6,Q372,Q372+O373)</f>
        <v>20000</v>
      </c>
      <c r="R373" s="34" t="str">
        <f aca="false">IF(L373&gt;$B$6,"",Q373-MAX($Q$5:Q373))</f>
        <v/>
      </c>
    </row>
    <row r="374" customFormat="false" ht="15" hidden="false" customHeight="false" outlineLevel="0" collapsed="false">
      <c r="L374" s="0" t="n">
        <v>369</v>
      </c>
      <c r="M374" s="37" t="str">
        <f aca="false">IF(L374&gt;$B$6,"",INDEX(Journal!$P$7:$P$506,MATCH(L374,Journal!$AI$7:$AI$506,0)))</f>
        <v/>
      </c>
      <c r="N374" s="0" t="str">
        <f aca="false">IF(L374&gt;$B$6,"",INDEX(Journal!$A$7:$A$506,MATCH(L374,Journal!$AI$7:$AI$506,0)))</f>
        <v/>
      </c>
      <c r="O374" s="34" t="str">
        <f aca="false">IF(L374&gt;$B$6,"",INDEX(Journal!$AC$7:$AC$506,MATCH(L374,Journal!$AI$7:$AI$506,0)))</f>
        <v/>
      </c>
      <c r="P374" s="35" t="str">
        <f aca="false">IF(L374&gt;$B$6,"",INDEX(Journal!$AD$7:$AD$506,MATCH(L374,Journal!$AI$7:$AI$506,0)))</f>
        <v/>
      </c>
      <c r="Q374" s="34" t="n">
        <f aca="false">IF(L374&gt;$B$6,Q373,Q373+O374)</f>
        <v>20000</v>
      </c>
      <c r="R374" s="34" t="str">
        <f aca="false">IF(L374&gt;$B$6,"",Q374-MAX($Q$5:Q374))</f>
        <v/>
      </c>
    </row>
    <row r="375" customFormat="false" ht="15" hidden="false" customHeight="false" outlineLevel="0" collapsed="false">
      <c r="L375" s="0" t="n">
        <v>370</v>
      </c>
      <c r="M375" s="37" t="str">
        <f aca="false">IF(L375&gt;$B$6,"",INDEX(Journal!$P$7:$P$506,MATCH(L375,Journal!$AI$7:$AI$506,0)))</f>
        <v/>
      </c>
      <c r="N375" s="0" t="str">
        <f aca="false">IF(L375&gt;$B$6,"",INDEX(Journal!$A$7:$A$506,MATCH(L375,Journal!$AI$7:$AI$506,0)))</f>
        <v/>
      </c>
      <c r="O375" s="34" t="str">
        <f aca="false">IF(L375&gt;$B$6,"",INDEX(Journal!$AC$7:$AC$506,MATCH(L375,Journal!$AI$7:$AI$506,0)))</f>
        <v/>
      </c>
      <c r="P375" s="35" t="str">
        <f aca="false">IF(L375&gt;$B$6,"",INDEX(Journal!$AD$7:$AD$506,MATCH(L375,Journal!$AI$7:$AI$506,0)))</f>
        <v/>
      </c>
      <c r="Q375" s="34" t="n">
        <f aca="false">IF(L375&gt;$B$6,Q374,Q374+O375)</f>
        <v>20000</v>
      </c>
      <c r="R375" s="34" t="str">
        <f aca="false">IF(L375&gt;$B$6,"",Q375-MAX($Q$5:Q375))</f>
        <v/>
      </c>
    </row>
    <row r="376" customFormat="false" ht="15" hidden="false" customHeight="false" outlineLevel="0" collapsed="false">
      <c r="L376" s="0" t="n">
        <v>371</v>
      </c>
      <c r="M376" s="37" t="str">
        <f aca="false">IF(L376&gt;$B$6,"",INDEX(Journal!$P$7:$P$506,MATCH(L376,Journal!$AI$7:$AI$506,0)))</f>
        <v/>
      </c>
      <c r="N376" s="0" t="str">
        <f aca="false">IF(L376&gt;$B$6,"",INDEX(Journal!$A$7:$A$506,MATCH(L376,Journal!$AI$7:$AI$506,0)))</f>
        <v/>
      </c>
      <c r="O376" s="34" t="str">
        <f aca="false">IF(L376&gt;$B$6,"",INDEX(Journal!$AC$7:$AC$506,MATCH(L376,Journal!$AI$7:$AI$506,0)))</f>
        <v/>
      </c>
      <c r="P376" s="35" t="str">
        <f aca="false">IF(L376&gt;$B$6,"",INDEX(Journal!$AD$7:$AD$506,MATCH(L376,Journal!$AI$7:$AI$506,0)))</f>
        <v/>
      </c>
      <c r="Q376" s="34" t="n">
        <f aca="false">IF(L376&gt;$B$6,Q375,Q375+O376)</f>
        <v>20000</v>
      </c>
      <c r="R376" s="34" t="str">
        <f aca="false">IF(L376&gt;$B$6,"",Q376-MAX($Q$5:Q376))</f>
        <v/>
      </c>
    </row>
    <row r="377" customFormat="false" ht="15" hidden="false" customHeight="false" outlineLevel="0" collapsed="false">
      <c r="L377" s="0" t="n">
        <v>372</v>
      </c>
      <c r="M377" s="37" t="str">
        <f aca="false">IF(L377&gt;$B$6,"",INDEX(Journal!$P$7:$P$506,MATCH(L377,Journal!$AI$7:$AI$506,0)))</f>
        <v/>
      </c>
      <c r="N377" s="0" t="str">
        <f aca="false">IF(L377&gt;$B$6,"",INDEX(Journal!$A$7:$A$506,MATCH(L377,Journal!$AI$7:$AI$506,0)))</f>
        <v/>
      </c>
      <c r="O377" s="34" t="str">
        <f aca="false">IF(L377&gt;$B$6,"",INDEX(Journal!$AC$7:$AC$506,MATCH(L377,Journal!$AI$7:$AI$506,0)))</f>
        <v/>
      </c>
      <c r="P377" s="35" t="str">
        <f aca="false">IF(L377&gt;$B$6,"",INDEX(Journal!$AD$7:$AD$506,MATCH(L377,Journal!$AI$7:$AI$506,0)))</f>
        <v/>
      </c>
      <c r="Q377" s="34" t="n">
        <f aca="false">IF(L377&gt;$B$6,Q376,Q376+O377)</f>
        <v>20000</v>
      </c>
      <c r="R377" s="34" t="str">
        <f aca="false">IF(L377&gt;$B$6,"",Q377-MAX($Q$5:Q377))</f>
        <v/>
      </c>
    </row>
    <row r="378" customFormat="false" ht="15" hidden="false" customHeight="false" outlineLevel="0" collapsed="false">
      <c r="L378" s="0" t="n">
        <v>373</v>
      </c>
      <c r="M378" s="37" t="str">
        <f aca="false">IF(L378&gt;$B$6,"",INDEX(Journal!$P$7:$P$506,MATCH(L378,Journal!$AI$7:$AI$506,0)))</f>
        <v/>
      </c>
      <c r="N378" s="0" t="str">
        <f aca="false">IF(L378&gt;$B$6,"",INDEX(Journal!$A$7:$A$506,MATCH(L378,Journal!$AI$7:$AI$506,0)))</f>
        <v/>
      </c>
      <c r="O378" s="34" t="str">
        <f aca="false">IF(L378&gt;$B$6,"",INDEX(Journal!$AC$7:$AC$506,MATCH(L378,Journal!$AI$7:$AI$506,0)))</f>
        <v/>
      </c>
      <c r="P378" s="35" t="str">
        <f aca="false">IF(L378&gt;$B$6,"",INDEX(Journal!$AD$7:$AD$506,MATCH(L378,Journal!$AI$7:$AI$506,0)))</f>
        <v/>
      </c>
      <c r="Q378" s="34" t="n">
        <f aca="false">IF(L378&gt;$B$6,Q377,Q377+O378)</f>
        <v>20000</v>
      </c>
      <c r="R378" s="34" t="str">
        <f aca="false">IF(L378&gt;$B$6,"",Q378-MAX($Q$5:Q378))</f>
        <v/>
      </c>
    </row>
    <row r="379" customFormat="false" ht="15" hidden="false" customHeight="false" outlineLevel="0" collapsed="false">
      <c r="L379" s="0" t="n">
        <v>374</v>
      </c>
      <c r="M379" s="37" t="str">
        <f aca="false">IF(L379&gt;$B$6,"",INDEX(Journal!$P$7:$P$506,MATCH(L379,Journal!$AI$7:$AI$506,0)))</f>
        <v/>
      </c>
      <c r="N379" s="0" t="str">
        <f aca="false">IF(L379&gt;$B$6,"",INDEX(Journal!$A$7:$A$506,MATCH(L379,Journal!$AI$7:$AI$506,0)))</f>
        <v/>
      </c>
      <c r="O379" s="34" t="str">
        <f aca="false">IF(L379&gt;$B$6,"",INDEX(Journal!$AC$7:$AC$506,MATCH(L379,Journal!$AI$7:$AI$506,0)))</f>
        <v/>
      </c>
      <c r="P379" s="35" t="str">
        <f aca="false">IF(L379&gt;$B$6,"",INDEX(Journal!$AD$7:$AD$506,MATCH(L379,Journal!$AI$7:$AI$506,0)))</f>
        <v/>
      </c>
      <c r="Q379" s="34" t="n">
        <f aca="false">IF(L379&gt;$B$6,Q378,Q378+O379)</f>
        <v>20000</v>
      </c>
      <c r="R379" s="34" t="str">
        <f aca="false">IF(L379&gt;$B$6,"",Q379-MAX($Q$5:Q379))</f>
        <v/>
      </c>
    </row>
    <row r="380" customFormat="false" ht="15" hidden="false" customHeight="false" outlineLevel="0" collapsed="false">
      <c r="L380" s="0" t="n">
        <v>375</v>
      </c>
      <c r="M380" s="37" t="str">
        <f aca="false">IF(L380&gt;$B$6,"",INDEX(Journal!$P$7:$P$506,MATCH(L380,Journal!$AI$7:$AI$506,0)))</f>
        <v/>
      </c>
      <c r="N380" s="0" t="str">
        <f aca="false">IF(L380&gt;$B$6,"",INDEX(Journal!$A$7:$A$506,MATCH(L380,Journal!$AI$7:$AI$506,0)))</f>
        <v/>
      </c>
      <c r="O380" s="34" t="str">
        <f aca="false">IF(L380&gt;$B$6,"",INDEX(Journal!$AC$7:$AC$506,MATCH(L380,Journal!$AI$7:$AI$506,0)))</f>
        <v/>
      </c>
      <c r="P380" s="35" t="str">
        <f aca="false">IF(L380&gt;$B$6,"",INDEX(Journal!$AD$7:$AD$506,MATCH(L380,Journal!$AI$7:$AI$506,0)))</f>
        <v/>
      </c>
      <c r="Q380" s="34" t="n">
        <f aca="false">IF(L380&gt;$B$6,Q379,Q379+O380)</f>
        <v>20000</v>
      </c>
      <c r="R380" s="34" t="str">
        <f aca="false">IF(L380&gt;$B$6,"",Q380-MAX($Q$5:Q380))</f>
        <v/>
      </c>
    </row>
    <row r="381" customFormat="false" ht="15" hidden="false" customHeight="false" outlineLevel="0" collapsed="false">
      <c r="L381" s="0" t="n">
        <v>376</v>
      </c>
      <c r="M381" s="37" t="str">
        <f aca="false">IF(L381&gt;$B$6,"",INDEX(Journal!$P$7:$P$506,MATCH(L381,Journal!$AI$7:$AI$506,0)))</f>
        <v/>
      </c>
      <c r="N381" s="0" t="str">
        <f aca="false">IF(L381&gt;$B$6,"",INDEX(Journal!$A$7:$A$506,MATCH(L381,Journal!$AI$7:$AI$506,0)))</f>
        <v/>
      </c>
      <c r="O381" s="34" t="str">
        <f aca="false">IF(L381&gt;$B$6,"",INDEX(Journal!$AC$7:$AC$506,MATCH(L381,Journal!$AI$7:$AI$506,0)))</f>
        <v/>
      </c>
      <c r="P381" s="35" t="str">
        <f aca="false">IF(L381&gt;$B$6,"",INDEX(Journal!$AD$7:$AD$506,MATCH(L381,Journal!$AI$7:$AI$506,0)))</f>
        <v/>
      </c>
      <c r="Q381" s="34" t="n">
        <f aca="false">IF(L381&gt;$B$6,Q380,Q380+O381)</f>
        <v>20000</v>
      </c>
      <c r="R381" s="34" t="str">
        <f aca="false">IF(L381&gt;$B$6,"",Q381-MAX($Q$5:Q381))</f>
        <v/>
      </c>
    </row>
    <row r="382" customFormat="false" ht="15" hidden="false" customHeight="false" outlineLevel="0" collapsed="false">
      <c r="L382" s="0" t="n">
        <v>377</v>
      </c>
      <c r="M382" s="37" t="str">
        <f aca="false">IF(L382&gt;$B$6,"",INDEX(Journal!$P$7:$P$506,MATCH(L382,Journal!$AI$7:$AI$506,0)))</f>
        <v/>
      </c>
      <c r="N382" s="0" t="str">
        <f aca="false">IF(L382&gt;$B$6,"",INDEX(Journal!$A$7:$A$506,MATCH(L382,Journal!$AI$7:$AI$506,0)))</f>
        <v/>
      </c>
      <c r="O382" s="34" t="str">
        <f aca="false">IF(L382&gt;$B$6,"",INDEX(Journal!$AC$7:$AC$506,MATCH(L382,Journal!$AI$7:$AI$506,0)))</f>
        <v/>
      </c>
      <c r="P382" s="35" t="str">
        <f aca="false">IF(L382&gt;$B$6,"",INDEX(Journal!$AD$7:$AD$506,MATCH(L382,Journal!$AI$7:$AI$506,0)))</f>
        <v/>
      </c>
      <c r="Q382" s="34" t="n">
        <f aca="false">IF(L382&gt;$B$6,Q381,Q381+O382)</f>
        <v>20000</v>
      </c>
      <c r="R382" s="34" t="str">
        <f aca="false">IF(L382&gt;$B$6,"",Q382-MAX($Q$5:Q382))</f>
        <v/>
      </c>
    </row>
    <row r="383" customFormat="false" ht="15" hidden="false" customHeight="false" outlineLevel="0" collapsed="false">
      <c r="L383" s="0" t="n">
        <v>378</v>
      </c>
      <c r="M383" s="37" t="str">
        <f aca="false">IF(L383&gt;$B$6,"",INDEX(Journal!$P$7:$P$506,MATCH(L383,Journal!$AI$7:$AI$506,0)))</f>
        <v/>
      </c>
      <c r="N383" s="0" t="str">
        <f aca="false">IF(L383&gt;$B$6,"",INDEX(Journal!$A$7:$A$506,MATCH(L383,Journal!$AI$7:$AI$506,0)))</f>
        <v/>
      </c>
      <c r="O383" s="34" t="str">
        <f aca="false">IF(L383&gt;$B$6,"",INDEX(Journal!$AC$7:$AC$506,MATCH(L383,Journal!$AI$7:$AI$506,0)))</f>
        <v/>
      </c>
      <c r="P383" s="35" t="str">
        <f aca="false">IF(L383&gt;$B$6,"",INDEX(Journal!$AD$7:$AD$506,MATCH(L383,Journal!$AI$7:$AI$506,0)))</f>
        <v/>
      </c>
      <c r="Q383" s="34" t="n">
        <f aca="false">IF(L383&gt;$B$6,Q382,Q382+O383)</f>
        <v>20000</v>
      </c>
      <c r="R383" s="34" t="str">
        <f aca="false">IF(L383&gt;$B$6,"",Q383-MAX($Q$5:Q383))</f>
        <v/>
      </c>
    </row>
    <row r="384" customFormat="false" ht="15" hidden="false" customHeight="false" outlineLevel="0" collapsed="false">
      <c r="L384" s="0" t="n">
        <v>379</v>
      </c>
      <c r="M384" s="37" t="str">
        <f aca="false">IF(L384&gt;$B$6,"",INDEX(Journal!$P$7:$P$506,MATCH(L384,Journal!$AI$7:$AI$506,0)))</f>
        <v/>
      </c>
      <c r="N384" s="0" t="str">
        <f aca="false">IF(L384&gt;$B$6,"",INDEX(Journal!$A$7:$A$506,MATCH(L384,Journal!$AI$7:$AI$506,0)))</f>
        <v/>
      </c>
      <c r="O384" s="34" t="str">
        <f aca="false">IF(L384&gt;$B$6,"",INDEX(Journal!$AC$7:$AC$506,MATCH(L384,Journal!$AI$7:$AI$506,0)))</f>
        <v/>
      </c>
      <c r="P384" s="35" t="str">
        <f aca="false">IF(L384&gt;$B$6,"",INDEX(Journal!$AD$7:$AD$506,MATCH(L384,Journal!$AI$7:$AI$506,0)))</f>
        <v/>
      </c>
      <c r="Q384" s="34" t="n">
        <f aca="false">IF(L384&gt;$B$6,Q383,Q383+O384)</f>
        <v>20000</v>
      </c>
      <c r="R384" s="34" t="str">
        <f aca="false">IF(L384&gt;$B$6,"",Q384-MAX($Q$5:Q384))</f>
        <v/>
      </c>
    </row>
    <row r="385" customFormat="false" ht="15" hidden="false" customHeight="false" outlineLevel="0" collapsed="false">
      <c r="L385" s="0" t="n">
        <v>380</v>
      </c>
      <c r="M385" s="37" t="str">
        <f aca="false">IF(L385&gt;$B$6,"",INDEX(Journal!$P$7:$P$506,MATCH(L385,Journal!$AI$7:$AI$506,0)))</f>
        <v/>
      </c>
      <c r="N385" s="0" t="str">
        <f aca="false">IF(L385&gt;$B$6,"",INDEX(Journal!$A$7:$A$506,MATCH(L385,Journal!$AI$7:$AI$506,0)))</f>
        <v/>
      </c>
      <c r="O385" s="34" t="str">
        <f aca="false">IF(L385&gt;$B$6,"",INDEX(Journal!$AC$7:$AC$506,MATCH(L385,Journal!$AI$7:$AI$506,0)))</f>
        <v/>
      </c>
      <c r="P385" s="35" t="str">
        <f aca="false">IF(L385&gt;$B$6,"",INDEX(Journal!$AD$7:$AD$506,MATCH(L385,Journal!$AI$7:$AI$506,0)))</f>
        <v/>
      </c>
      <c r="Q385" s="34" t="n">
        <f aca="false">IF(L385&gt;$B$6,Q384,Q384+O385)</f>
        <v>20000</v>
      </c>
      <c r="R385" s="34" t="str">
        <f aca="false">IF(L385&gt;$B$6,"",Q385-MAX($Q$5:Q385))</f>
        <v/>
      </c>
    </row>
    <row r="386" customFormat="false" ht="15" hidden="false" customHeight="false" outlineLevel="0" collapsed="false">
      <c r="L386" s="0" t="n">
        <v>381</v>
      </c>
      <c r="M386" s="37" t="str">
        <f aca="false">IF(L386&gt;$B$6,"",INDEX(Journal!$P$7:$P$506,MATCH(L386,Journal!$AI$7:$AI$506,0)))</f>
        <v/>
      </c>
      <c r="N386" s="0" t="str">
        <f aca="false">IF(L386&gt;$B$6,"",INDEX(Journal!$A$7:$A$506,MATCH(L386,Journal!$AI$7:$AI$506,0)))</f>
        <v/>
      </c>
      <c r="O386" s="34" t="str">
        <f aca="false">IF(L386&gt;$B$6,"",INDEX(Journal!$AC$7:$AC$506,MATCH(L386,Journal!$AI$7:$AI$506,0)))</f>
        <v/>
      </c>
      <c r="P386" s="35" t="str">
        <f aca="false">IF(L386&gt;$B$6,"",INDEX(Journal!$AD$7:$AD$506,MATCH(L386,Journal!$AI$7:$AI$506,0)))</f>
        <v/>
      </c>
      <c r="Q386" s="34" t="n">
        <f aca="false">IF(L386&gt;$B$6,Q385,Q385+O386)</f>
        <v>20000</v>
      </c>
      <c r="R386" s="34" t="str">
        <f aca="false">IF(L386&gt;$B$6,"",Q386-MAX($Q$5:Q386))</f>
        <v/>
      </c>
    </row>
    <row r="387" customFormat="false" ht="15" hidden="false" customHeight="false" outlineLevel="0" collapsed="false">
      <c r="L387" s="0" t="n">
        <v>382</v>
      </c>
      <c r="M387" s="37" t="str">
        <f aca="false">IF(L387&gt;$B$6,"",INDEX(Journal!$P$7:$P$506,MATCH(L387,Journal!$AI$7:$AI$506,0)))</f>
        <v/>
      </c>
      <c r="N387" s="0" t="str">
        <f aca="false">IF(L387&gt;$B$6,"",INDEX(Journal!$A$7:$A$506,MATCH(L387,Journal!$AI$7:$AI$506,0)))</f>
        <v/>
      </c>
      <c r="O387" s="34" t="str">
        <f aca="false">IF(L387&gt;$B$6,"",INDEX(Journal!$AC$7:$AC$506,MATCH(L387,Journal!$AI$7:$AI$506,0)))</f>
        <v/>
      </c>
      <c r="P387" s="35" t="str">
        <f aca="false">IF(L387&gt;$B$6,"",INDEX(Journal!$AD$7:$AD$506,MATCH(L387,Journal!$AI$7:$AI$506,0)))</f>
        <v/>
      </c>
      <c r="Q387" s="34" t="n">
        <f aca="false">IF(L387&gt;$B$6,Q386,Q386+O387)</f>
        <v>20000</v>
      </c>
      <c r="R387" s="34" t="str">
        <f aca="false">IF(L387&gt;$B$6,"",Q387-MAX($Q$5:Q387))</f>
        <v/>
      </c>
    </row>
    <row r="388" customFormat="false" ht="15" hidden="false" customHeight="false" outlineLevel="0" collapsed="false">
      <c r="L388" s="0" t="n">
        <v>383</v>
      </c>
      <c r="M388" s="37" t="str">
        <f aca="false">IF(L388&gt;$B$6,"",INDEX(Journal!$P$7:$P$506,MATCH(L388,Journal!$AI$7:$AI$506,0)))</f>
        <v/>
      </c>
      <c r="N388" s="0" t="str">
        <f aca="false">IF(L388&gt;$B$6,"",INDEX(Journal!$A$7:$A$506,MATCH(L388,Journal!$AI$7:$AI$506,0)))</f>
        <v/>
      </c>
      <c r="O388" s="34" t="str">
        <f aca="false">IF(L388&gt;$B$6,"",INDEX(Journal!$AC$7:$AC$506,MATCH(L388,Journal!$AI$7:$AI$506,0)))</f>
        <v/>
      </c>
      <c r="P388" s="35" t="str">
        <f aca="false">IF(L388&gt;$B$6,"",INDEX(Journal!$AD$7:$AD$506,MATCH(L388,Journal!$AI$7:$AI$506,0)))</f>
        <v/>
      </c>
      <c r="Q388" s="34" t="n">
        <f aca="false">IF(L388&gt;$B$6,Q387,Q387+O388)</f>
        <v>20000</v>
      </c>
      <c r="R388" s="34" t="str">
        <f aca="false">IF(L388&gt;$B$6,"",Q388-MAX($Q$5:Q388))</f>
        <v/>
      </c>
    </row>
    <row r="389" customFormat="false" ht="15" hidden="false" customHeight="false" outlineLevel="0" collapsed="false">
      <c r="L389" s="0" t="n">
        <v>384</v>
      </c>
      <c r="M389" s="37" t="str">
        <f aca="false">IF(L389&gt;$B$6,"",INDEX(Journal!$P$7:$P$506,MATCH(L389,Journal!$AI$7:$AI$506,0)))</f>
        <v/>
      </c>
      <c r="N389" s="0" t="str">
        <f aca="false">IF(L389&gt;$B$6,"",INDEX(Journal!$A$7:$A$506,MATCH(L389,Journal!$AI$7:$AI$506,0)))</f>
        <v/>
      </c>
      <c r="O389" s="34" t="str">
        <f aca="false">IF(L389&gt;$B$6,"",INDEX(Journal!$AC$7:$AC$506,MATCH(L389,Journal!$AI$7:$AI$506,0)))</f>
        <v/>
      </c>
      <c r="P389" s="35" t="str">
        <f aca="false">IF(L389&gt;$B$6,"",INDEX(Journal!$AD$7:$AD$506,MATCH(L389,Journal!$AI$7:$AI$506,0)))</f>
        <v/>
      </c>
      <c r="Q389" s="34" t="n">
        <f aca="false">IF(L389&gt;$B$6,Q388,Q388+O389)</f>
        <v>20000</v>
      </c>
      <c r="R389" s="34" t="str">
        <f aca="false">IF(L389&gt;$B$6,"",Q389-MAX($Q$5:Q389))</f>
        <v/>
      </c>
    </row>
    <row r="390" customFormat="false" ht="15" hidden="false" customHeight="false" outlineLevel="0" collapsed="false">
      <c r="L390" s="0" t="n">
        <v>385</v>
      </c>
      <c r="M390" s="37" t="str">
        <f aca="false">IF(L390&gt;$B$6,"",INDEX(Journal!$P$7:$P$506,MATCH(L390,Journal!$AI$7:$AI$506,0)))</f>
        <v/>
      </c>
      <c r="N390" s="0" t="str">
        <f aca="false">IF(L390&gt;$B$6,"",INDEX(Journal!$A$7:$A$506,MATCH(L390,Journal!$AI$7:$AI$506,0)))</f>
        <v/>
      </c>
      <c r="O390" s="34" t="str">
        <f aca="false">IF(L390&gt;$B$6,"",INDEX(Journal!$AC$7:$AC$506,MATCH(L390,Journal!$AI$7:$AI$506,0)))</f>
        <v/>
      </c>
      <c r="P390" s="35" t="str">
        <f aca="false">IF(L390&gt;$B$6,"",INDEX(Journal!$AD$7:$AD$506,MATCH(L390,Journal!$AI$7:$AI$506,0)))</f>
        <v/>
      </c>
      <c r="Q390" s="34" t="n">
        <f aca="false">IF(L390&gt;$B$6,Q389,Q389+O390)</f>
        <v>20000</v>
      </c>
      <c r="R390" s="34" t="str">
        <f aca="false">IF(L390&gt;$B$6,"",Q390-MAX($Q$5:Q390))</f>
        <v/>
      </c>
    </row>
    <row r="391" customFormat="false" ht="15" hidden="false" customHeight="false" outlineLevel="0" collapsed="false">
      <c r="L391" s="0" t="n">
        <v>386</v>
      </c>
      <c r="M391" s="37" t="str">
        <f aca="false">IF(L391&gt;$B$6,"",INDEX(Journal!$P$7:$P$506,MATCH(L391,Journal!$AI$7:$AI$506,0)))</f>
        <v/>
      </c>
      <c r="N391" s="0" t="str">
        <f aca="false">IF(L391&gt;$B$6,"",INDEX(Journal!$A$7:$A$506,MATCH(L391,Journal!$AI$7:$AI$506,0)))</f>
        <v/>
      </c>
      <c r="O391" s="34" t="str">
        <f aca="false">IF(L391&gt;$B$6,"",INDEX(Journal!$AC$7:$AC$506,MATCH(L391,Journal!$AI$7:$AI$506,0)))</f>
        <v/>
      </c>
      <c r="P391" s="35" t="str">
        <f aca="false">IF(L391&gt;$B$6,"",INDEX(Journal!$AD$7:$AD$506,MATCH(L391,Journal!$AI$7:$AI$506,0)))</f>
        <v/>
      </c>
      <c r="Q391" s="34" t="n">
        <f aca="false">IF(L391&gt;$B$6,Q390,Q390+O391)</f>
        <v>20000</v>
      </c>
      <c r="R391" s="34" t="str">
        <f aca="false">IF(L391&gt;$B$6,"",Q391-MAX($Q$5:Q391))</f>
        <v/>
      </c>
    </row>
    <row r="392" customFormat="false" ht="15" hidden="false" customHeight="false" outlineLevel="0" collapsed="false">
      <c r="L392" s="0" t="n">
        <v>387</v>
      </c>
      <c r="M392" s="37" t="str">
        <f aca="false">IF(L392&gt;$B$6,"",INDEX(Journal!$P$7:$P$506,MATCH(L392,Journal!$AI$7:$AI$506,0)))</f>
        <v/>
      </c>
      <c r="N392" s="0" t="str">
        <f aca="false">IF(L392&gt;$B$6,"",INDEX(Journal!$A$7:$A$506,MATCH(L392,Journal!$AI$7:$AI$506,0)))</f>
        <v/>
      </c>
      <c r="O392" s="34" t="str">
        <f aca="false">IF(L392&gt;$B$6,"",INDEX(Journal!$AC$7:$AC$506,MATCH(L392,Journal!$AI$7:$AI$506,0)))</f>
        <v/>
      </c>
      <c r="P392" s="35" t="str">
        <f aca="false">IF(L392&gt;$B$6,"",INDEX(Journal!$AD$7:$AD$506,MATCH(L392,Journal!$AI$7:$AI$506,0)))</f>
        <v/>
      </c>
      <c r="Q392" s="34" t="n">
        <f aca="false">IF(L392&gt;$B$6,Q391,Q391+O392)</f>
        <v>20000</v>
      </c>
      <c r="R392" s="34" t="str">
        <f aca="false">IF(L392&gt;$B$6,"",Q392-MAX($Q$5:Q392))</f>
        <v/>
      </c>
    </row>
    <row r="393" customFormat="false" ht="15" hidden="false" customHeight="false" outlineLevel="0" collapsed="false">
      <c r="L393" s="0" t="n">
        <v>388</v>
      </c>
      <c r="M393" s="37" t="str">
        <f aca="false">IF(L393&gt;$B$6,"",INDEX(Journal!$P$7:$P$506,MATCH(L393,Journal!$AI$7:$AI$506,0)))</f>
        <v/>
      </c>
      <c r="N393" s="0" t="str">
        <f aca="false">IF(L393&gt;$B$6,"",INDEX(Journal!$A$7:$A$506,MATCH(L393,Journal!$AI$7:$AI$506,0)))</f>
        <v/>
      </c>
      <c r="O393" s="34" t="str">
        <f aca="false">IF(L393&gt;$B$6,"",INDEX(Journal!$AC$7:$AC$506,MATCH(L393,Journal!$AI$7:$AI$506,0)))</f>
        <v/>
      </c>
      <c r="P393" s="35" t="str">
        <f aca="false">IF(L393&gt;$B$6,"",INDEX(Journal!$AD$7:$AD$506,MATCH(L393,Journal!$AI$7:$AI$506,0)))</f>
        <v/>
      </c>
      <c r="Q393" s="34" t="n">
        <f aca="false">IF(L393&gt;$B$6,Q392,Q392+O393)</f>
        <v>20000</v>
      </c>
      <c r="R393" s="34" t="str">
        <f aca="false">IF(L393&gt;$B$6,"",Q393-MAX($Q$5:Q393))</f>
        <v/>
      </c>
    </row>
    <row r="394" customFormat="false" ht="15" hidden="false" customHeight="false" outlineLevel="0" collapsed="false">
      <c r="L394" s="0" t="n">
        <v>389</v>
      </c>
      <c r="M394" s="37" t="str">
        <f aca="false">IF(L394&gt;$B$6,"",INDEX(Journal!$P$7:$P$506,MATCH(L394,Journal!$AI$7:$AI$506,0)))</f>
        <v/>
      </c>
      <c r="N394" s="0" t="str">
        <f aca="false">IF(L394&gt;$B$6,"",INDEX(Journal!$A$7:$A$506,MATCH(L394,Journal!$AI$7:$AI$506,0)))</f>
        <v/>
      </c>
      <c r="O394" s="34" t="str">
        <f aca="false">IF(L394&gt;$B$6,"",INDEX(Journal!$AC$7:$AC$506,MATCH(L394,Journal!$AI$7:$AI$506,0)))</f>
        <v/>
      </c>
      <c r="P394" s="35" t="str">
        <f aca="false">IF(L394&gt;$B$6,"",INDEX(Journal!$AD$7:$AD$506,MATCH(L394,Journal!$AI$7:$AI$506,0)))</f>
        <v/>
      </c>
      <c r="Q394" s="34" t="n">
        <f aca="false">IF(L394&gt;$B$6,Q393,Q393+O394)</f>
        <v>20000</v>
      </c>
      <c r="R394" s="34" t="str">
        <f aca="false">IF(L394&gt;$B$6,"",Q394-MAX($Q$5:Q394))</f>
        <v/>
      </c>
    </row>
    <row r="395" customFormat="false" ht="15" hidden="false" customHeight="false" outlineLevel="0" collapsed="false">
      <c r="L395" s="0" t="n">
        <v>390</v>
      </c>
      <c r="M395" s="37" t="str">
        <f aca="false">IF(L395&gt;$B$6,"",INDEX(Journal!$P$7:$P$506,MATCH(L395,Journal!$AI$7:$AI$506,0)))</f>
        <v/>
      </c>
      <c r="N395" s="0" t="str">
        <f aca="false">IF(L395&gt;$B$6,"",INDEX(Journal!$A$7:$A$506,MATCH(L395,Journal!$AI$7:$AI$506,0)))</f>
        <v/>
      </c>
      <c r="O395" s="34" t="str">
        <f aca="false">IF(L395&gt;$B$6,"",INDEX(Journal!$AC$7:$AC$506,MATCH(L395,Journal!$AI$7:$AI$506,0)))</f>
        <v/>
      </c>
      <c r="P395" s="35" t="str">
        <f aca="false">IF(L395&gt;$B$6,"",INDEX(Journal!$AD$7:$AD$506,MATCH(L395,Journal!$AI$7:$AI$506,0)))</f>
        <v/>
      </c>
      <c r="Q395" s="34" t="n">
        <f aca="false">IF(L395&gt;$B$6,Q394,Q394+O395)</f>
        <v>20000</v>
      </c>
      <c r="R395" s="34" t="str">
        <f aca="false">IF(L395&gt;$B$6,"",Q395-MAX($Q$5:Q395))</f>
        <v/>
      </c>
    </row>
    <row r="396" customFormat="false" ht="15" hidden="false" customHeight="false" outlineLevel="0" collapsed="false">
      <c r="L396" s="0" t="n">
        <v>391</v>
      </c>
      <c r="M396" s="37" t="str">
        <f aca="false">IF(L396&gt;$B$6,"",INDEX(Journal!$P$7:$P$506,MATCH(L396,Journal!$AI$7:$AI$506,0)))</f>
        <v/>
      </c>
      <c r="N396" s="0" t="str">
        <f aca="false">IF(L396&gt;$B$6,"",INDEX(Journal!$A$7:$A$506,MATCH(L396,Journal!$AI$7:$AI$506,0)))</f>
        <v/>
      </c>
      <c r="O396" s="34" t="str">
        <f aca="false">IF(L396&gt;$B$6,"",INDEX(Journal!$AC$7:$AC$506,MATCH(L396,Journal!$AI$7:$AI$506,0)))</f>
        <v/>
      </c>
      <c r="P396" s="35" t="str">
        <f aca="false">IF(L396&gt;$B$6,"",INDEX(Journal!$AD$7:$AD$506,MATCH(L396,Journal!$AI$7:$AI$506,0)))</f>
        <v/>
      </c>
      <c r="Q396" s="34" t="n">
        <f aca="false">IF(L396&gt;$B$6,Q395,Q395+O396)</f>
        <v>20000</v>
      </c>
      <c r="R396" s="34" t="str">
        <f aca="false">IF(L396&gt;$B$6,"",Q396-MAX($Q$5:Q396))</f>
        <v/>
      </c>
    </row>
    <row r="397" customFormat="false" ht="15" hidden="false" customHeight="false" outlineLevel="0" collapsed="false">
      <c r="L397" s="0" t="n">
        <v>392</v>
      </c>
      <c r="M397" s="37" t="str">
        <f aca="false">IF(L397&gt;$B$6,"",INDEX(Journal!$P$7:$P$506,MATCH(L397,Journal!$AI$7:$AI$506,0)))</f>
        <v/>
      </c>
      <c r="N397" s="0" t="str">
        <f aca="false">IF(L397&gt;$B$6,"",INDEX(Journal!$A$7:$A$506,MATCH(L397,Journal!$AI$7:$AI$506,0)))</f>
        <v/>
      </c>
      <c r="O397" s="34" t="str">
        <f aca="false">IF(L397&gt;$B$6,"",INDEX(Journal!$AC$7:$AC$506,MATCH(L397,Journal!$AI$7:$AI$506,0)))</f>
        <v/>
      </c>
      <c r="P397" s="35" t="str">
        <f aca="false">IF(L397&gt;$B$6,"",INDEX(Journal!$AD$7:$AD$506,MATCH(L397,Journal!$AI$7:$AI$506,0)))</f>
        <v/>
      </c>
      <c r="Q397" s="34" t="n">
        <f aca="false">IF(L397&gt;$B$6,Q396,Q396+O397)</f>
        <v>20000</v>
      </c>
      <c r="R397" s="34" t="str">
        <f aca="false">IF(L397&gt;$B$6,"",Q397-MAX($Q$5:Q397))</f>
        <v/>
      </c>
    </row>
    <row r="398" customFormat="false" ht="15" hidden="false" customHeight="false" outlineLevel="0" collapsed="false">
      <c r="L398" s="0" t="n">
        <v>393</v>
      </c>
      <c r="M398" s="37" t="str">
        <f aca="false">IF(L398&gt;$B$6,"",INDEX(Journal!$P$7:$P$506,MATCH(L398,Journal!$AI$7:$AI$506,0)))</f>
        <v/>
      </c>
      <c r="N398" s="0" t="str">
        <f aca="false">IF(L398&gt;$B$6,"",INDEX(Journal!$A$7:$A$506,MATCH(L398,Journal!$AI$7:$AI$506,0)))</f>
        <v/>
      </c>
      <c r="O398" s="34" t="str">
        <f aca="false">IF(L398&gt;$B$6,"",INDEX(Journal!$AC$7:$AC$506,MATCH(L398,Journal!$AI$7:$AI$506,0)))</f>
        <v/>
      </c>
      <c r="P398" s="35" t="str">
        <f aca="false">IF(L398&gt;$B$6,"",INDEX(Journal!$AD$7:$AD$506,MATCH(L398,Journal!$AI$7:$AI$506,0)))</f>
        <v/>
      </c>
      <c r="Q398" s="34" t="n">
        <f aca="false">IF(L398&gt;$B$6,Q397,Q397+O398)</f>
        <v>20000</v>
      </c>
      <c r="R398" s="34" t="str">
        <f aca="false">IF(L398&gt;$B$6,"",Q398-MAX($Q$5:Q398))</f>
        <v/>
      </c>
    </row>
    <row r="399" customFormat="false" ht="15" hidden="false" customHeight="false" outlineLevel="0" collapsed="false">
      <c r="L399" s="0" t="n">
        <v>394</v>
      </c>
      <c r="M399" s="37" t="str">
        <f aca="false">IF(L399&gt;$B$6,"",INDEX(Journal!$P$7:$P$506,MATCH(L399,Journal!$AI$7:$AI$506,0)))</f>
        <v/>
      </c>
      <c r="N399" s="0" t="str">
        <f aca="false">IF(L399&gt;$B$6,"",INDEX(Journal!$A$7:$A$506,MATCH(L399,Journal!$AI$7:$AI$506,0)))</f>
        <v/>
      </c>
      <c r="O399" s="34" t="str">
        <f aca="false">IF(L399&gt;$B$6,"",INDEX(Journal!$AC$7:$AC$506,MATCH(L399,Journal!$AI$7:$AI$506,0)))</f>
        <v/>
      </c>
      <c r="P399" s="35" t="str">
        <f aca="false">IF(L399&gt;$B$6,"",INDEX(Journal!$AD$7:$AD$506,MATCH(L399,Journal!$AI$7:$AI$506,0)))</f>
        <v/>
      </c>
      <c r="Q399" s="34" t="n">
        <f aca="false">IF(L399&gt;$B$6,Q398,Q398+O399)</f>
        <v>20000</v>
      </c>
      <c r="R399" s="34" t="str">
        <f aca="false">IF(L399&gt;$B$6,"",Q399-MAX($Q$5:Q399))</f>
        <v/>
      </c>
    </row>
    <row r="400" customFormat="false" ht="15" hidden="false" customHeight="false" outlineLevel="0" collapsed="false">
      <c r="L400" s="0" t="n">
        <v>395</v>
      </c>
      <c r="M400" s="37" t="str">
        <f aca="false">IF(L400&gt;$B$6,"",INDEX(Journal!$P$7:$P$506,MATCH(L400,Journal!$AI$7:$AI$506,0)))</f>
        <v/>
      </c>
      <c r="N400" s="0" t="str">
        <f aca="false">IF(L400&gt;$B$6,"",INDEX(Journal!$A$7:$A$506,MATCH(L400,Journal!$AI$7:$AI$506,0)))</f>
        <v/>
      </c>
      <c r="O400" s="34" t="str">
        <f aca="false">IF(L400&gt;$B$6,"",INDEX(Journal!$AC$7:$AC$506,MATCH(L400,Journal!$AI$7:$AI$506,0)))</f>
        <v/>
      </c>
      <c r="P400" s="35" t="str">
        <f aca="false">IF(L400&gt;$B$6,"",INDEX(Journal!$AD$7:$AD$506,MATCH(L400,Journal!$AI$7:$AI$506,0)))</f>
        <v/>
      </c>
      <c r="Q400" s="34" t="n">
        <f aca="false">IF(L400&gt;$B$6,Q399,Q399+O400)</f>
        <v>20000</v>
      </c>
      <c r="R400" s="34" t="str">
        <f aca="false">IF(L400&gt;$B$6,"",Q400-MAX($Q$5:Q400))</f>
        <v/>
      </c>
    </row>
    <row r="401" customFormat="false" ht="15" hidden="false" customHeight="false" outlineLevel="0" collapsed="false">
      <c r="L401" s="0" t="n">
        <v>396</v>
      </c>
      <c r="M401" s="37" t="str">
        <f aca="false">IF(L401&gt;$B$6,"",INDEX(Journal!$P$7:$P$506,MATCH(L401,Journal!$AI$7:$AI$506,0)))</f>
        <v/>
      </c>
      <c r="N401" s="0" t="str">
        <f aca="false">IF(L401&gt;$B$6,"",INDEX(Journal!$A$7:$A$506,MATCH(L401,Journal!$AI$7:$AI$506,0)))</f>
        <v/>
      </c>
      <c r="O401" s="34" t="str">
        <f aca="false">IF(L401&gt;$B$6,"",INDEX(Journal!$AC$7:$AC$506,MATCH(L401,Journal!$AI$7:$AI$506,0)))</f>
        <v/>
      </c>
      <c r="P401" s="35" t="str">
        <f aca="false">IF(L401&gt;$B$6,"",INDEX(Journal!$AD$7:$AD$506,MATCH(L401,Journal!$AI$7:$AI$506,0)))</f>
        <v/>
      </c>
      <c r="Q401" s="34" t="n">
        <f aca="false">IF(L401&gt;$B$6,Q400,Q400+O401)</f>
        <v>20000</v>
      </c>
      <c r="R401" s="34" t="str">
        <f aca="false">IF(L401&gt;$B$6,"",Q401-MAX($Q$5:Q401))</f>
        <v/>
      </c>
    </row>
    <row r="402" customFormat="false" ht="15" hidden="false" customHeight="false" outlineLevel="0" collapsed="false">
      <c r="L402" s="0" t="n">
        <v>397</v>
      </c>
      <c r="M402" s="37" t="str">
        <f aca="false">IF(L402&gt;$B$6,"",INDEX(Journal!$P$7:$P$506,MATCH(L402,Journal!$AI$7:$AI$506,0)))</f>
        <v/>
      </c>
      <c r="N402" s="0" t="str">
        <f aca="false">IF(L402&gt;$B$6,"",INDEX(Journal!$A$7:$A$506,MATCH(L402,Journal!$AI$7:$AI$506,0)))</f>
        <v/>
      </c>
      <c r="O402" s="34" t="str">
        <f aca="false">IF(L402&gt;$B$6,"",INDEX(Journal!$AC$7:$AC$506,MATCH(L402,Journal!$AI$7:$AI$506,0)))</f>
        <v/>
      </c>
      <c r="P402" s="35" t="str">
        <f aca="false">IF(L402&gt;$B$6,"",INDEX(Journal!$AD$7:$AD$506,MATCH(L402,Journal!$AI$7:$AI$506,0)))</f>
        <v/>
      </c>
      <c r="Q402" s="34" t="n">
        <f aca="false">IF(L402&gt;$B$6,Q401,Q401+O402)</f>
        <v>20000</v>
      </c>
      <c r="R402" s="34" t="str">
        <f aca="false">IF(L402&gt;$B$6,"",Q402-MAX($Q$5:Q402))</f>
        <v/>
      </c>
    </row>
    <row r="403" customFormat="false" ht="15" hidden="false" customHeight="false" outlineLevel="0" collapsed="false">
      <c r="L403" s="0" t="n">
        <v>398</v>
      </c>
      <c r="M403" s="37" t="str">
        <f aca="false">IF(L403&gt;$B$6,"",INDEX(Journal!$P$7:$P$506,MATCH(L403,Journal!$AI$7:$AI$506,0)))</f>
        <v/>
      </c>
      <c r="N403" s="0" t="str">
        <f aca="false">IF(L403&gt;$B$6,"",INDEX(Journal!$A$7:$A$506,MATCH(L403,Journal!$AI$7:$AI$506,0)))</f>
        <v/>
      </c>
      <c r="O403" s="34" t="str">
        <f aca="false">IF(L403&gt;$B$6,"",INDEX(Journal!$AC$7:$AC$506,MATCH(L403,Journal!$AI$7:$AI$506,0)))</f>
        <v/>
      </c>
      <c r="P403" s="35" t="str">
        <f aca="false">IF(L403&gt;$B$6,"",INDEX(Journal!$AD$7:$AD$506,MATCH(L403,Journal!$AI$7:$AI$506,0)))</f>
        <v/>
      </c>
      <c r="Q403" s="34" t="n">
        <f aca="false">IF(L403&gt;$B$6,Q402,Q402+O403)</f>
        <v>20000</v>
      </c>
      <c r="R403" s="34" t="str">
        <f aca="false">IF(L403&gt;$B$6,"",Q403-MAX($Q$5:Q403))</f>
        <v/>
      </c>
    </row>
    <row r="404" customFormat="false" ht="15" hidden="false" customHeight="false" outlineLevel="0" collapsed="false">
      <c r="L404" s="0" t="n">
        <v>399</v>
      </c>
      <c r="M404" s="37" t="str">
        <f aca="false">IF(L404&gt;$B$6,"",INDEX(Journal!$P$7:$P$506,MATCH(L404,Journal!$AI$7:$AI$506,0)))</f>
        <v/>
      </c>
      <c r="N404" s="0" t="str">
        <f aca="false">IF(L404&gt;$B$6,"",INDEX(Journal!$A$7:$A$506,MATCH(L404,Journal!$AI$7:$AI$506,0)))</f>
        <v/>
      </c>
      <c r="O404" s="34" t="str">
        <f aca="false">IF(L404&gt;$B$6,"",INDEX(Journal!$AC$7:$AC$506,MATCH(L404,Journal!$AI$7:$AI$506,0)))</f>
        <v/>
      </c>
      <c r="P404" s="35" t="str">
        <f aca="false">IF(L404&gt;$B$6,"",INDEX(Journal!$AD$7:$AD$506,MATCH(L404,Journal!$AI$7:$AI$506,0)))</f>
        <v/>
      </c>
      <c r="Q404" s="34" t="n">
        <f aca="false">IF(L404&gt;$B$6,Q403,Q403+O404)</f>
        <v>20000</v>
      </c>
      <c r="R404" s="34" t="str">
        <f aca="false">IF(L404&gt;$B$6,"",Q404-MAX($Q$5:Q404))</f>
        <v/>
      </c>
    </row>
    <row r="405" customFormat="false" ht="15" hidden="false" customHeight="false" outlineLevel="0" collapsed="false">
      <c r="L405" s="0" t="n">
        <v>400</v>
      </c>
      <c r="M405" s="37" t="str">
        <f aca="false">IF(L405&gt;$B$6,"",INDEX(Journal!$P$7:$P$506,MATCH(L405,Journal!$AI$7:$AI$506,0)))</f>
        <v/>
      </c>
      <c r="N405" s="0" t="str">
        <f aca="false">IF(L405&gt;$B$6,"",INDEX(Journal!$A$7:$A$506,MATCH(L405,Journal!$AI$7:$AI$506,0)))</f>
        <v/>
      </c>
      <c r="O405" s="34" t="str">
        <f aca="false">IF(L405&gt;$B$6,"",INDEX(Journal!$AC$7:$AC$506,MATCH(L405,Journal!$AI$7:$AI$506,0)))</f>
        <v/>
      </c>
      <c r="P405" s="35" t="str">
        <f aca="false">IF(L405&gt;$B$6,"",INDEX(Journal!$AD$7:$AD$506,MATCH(L405,Journal!$AI$7:$AI$506,0)))</f>
        <v/>
      </c>
      <c r="Q405" s="34" t="n">
        <f aca="false">IF(L405&gt;$B$6,Q404,Q404+O405)</f>
        <v>20000</v>
      </c>
      <c r="R405" s="34" t="str">
        <f aca="false">IF(L405&gt;$B$6,"",Q405-MAX($Q$5:Q405))</f>
        <v/>
      </c>
    </row>
    <row r="406" customFormat="false" ht="15" hidden="false" customHeight="false" outlineLevel="0" collapsed="false">
      <c r="L406" s="0" t="n">
        <v>401</v>
      </c>
      <c r="M406" s="37" t="str">
        <f aca="false">IF(L406&gt;$B$6,"",INDEX(Journal!$P$7:$P$506,MATCH(L406,Journal!$AI$7:$AI$506,0)))</f>
        <v/>
      </c>
      <c r="N406" s="0" t="str">
        <f aca="false">IF(L406&gt;$B$6,"",INDEX(Journal!$A$7:$A$506,MATCH(L406,Journal!$AI$7:$AI$506,0)))</f>
        <v/>
      </c>
      <c r="O406" s="34" t="str">
        <f aca="false">IF(L406&gt;$B$6,"",INDEX(Journal!$AC$7:$AC$506,MATCH(L406,Journal!$AI$7:$AI$506,0)))</f>
        <v/>
      </c>
      <c r="P406" s="35" t="str">
        <f aca="false">IF(L406&gt;$B$6,"",INDEX(Journal!$AD$7:$AD$506,MATCH(L406,Journal!$AI$7:$AI$506,0)))</f>
        <v/>
      </c>
      <c r="Q406" s="34" t="n">
        <f aca="false">IF(L406&gt;$B$6,Q405,Q405+O406)</f>
        <v>20000</v>
      </c>
      <c r="R406" s="34" t="str">
        <f aca="false">IF(L406&gt;$B$6,"",Q406-MAX($Q$5:Q406))</f>
        <v/>
      </c>
    </row>
    <row r="407" customFormat="false" ht="15" hidden="false" customHeight="false" outlineLevel="0" collapsed="false">
      <c r="L407" s="0" t="n">
        <v>402</v>
      </c>
      <c r="M407" s="37" t="str">
        <f aca="false">IF(L407&gt;$B$6,"",INDEX(Journal!$P$7:$P$506,MATCH(L407,Journal!$AI$7:$AI$506,0)))</f>
        <v/>
      </c>
      <c r="N407" s="0" t="str">
        <f aca="false">IF(L407&gt;$B$6,"",INDEX(Journal!$A$7:$A$506,MATCH(L407,Journal!$AI$7:$AI$506,0)))</f>
        <v/>
      </c>
      <c r="O407" s="34" t="str">
        <f aca="false">IF(L407&gt;$B$6,"",INDEX(Journal!$AC$7:$AC$506,MATCH(L407,Journal!$AI$7:$AI$506,0)))</f>
        <v/>
      </c>
      <c r="P407" s="35" t="str">
        <f aca="false">IF(L407&gt;$B$6,"",INDEX(Journal!$AD$7:$AD$506,MATCH(L407,Journal!$AI$7:$AI$506,0)))</f>
        <v/>
      </c>
      <c r="Q407" s="34" t="n">
        <f aca="false">IF(L407&gt;$B$6,Q406,Q406+O407)</f>
        <v>20000</v>
      </c>
      <c r="R407" s="34" t="str">
        <f aca="false">IF(L407&gt;$B$6,"",Q407-MAX($Q$5:Q407))</f>
        <v/>
      </c>
    </row>
    <row r="408" customFormat="false" ht="15" hidden="false" customHeight="false" outlineLevel="0" collapsed="false">
      <c r="L408" s="0" t="n">
        <v>403</v>
      </c>
      <c r="M408" s="37" t="str">
        <f aca="false">IF(L408&gt;$B$6,"",INDEX(Journal!$P$7:$P$506,MATCH(L408,Journal!$AI$7:$AI$506,0)))</f>
        <v/>
      </c>
      <c r="N408" s="0" t="str">
        <f aca="false">IF(L408&gt;$B$6,"",INDEX(Journal!$A$7:$A$506,MATCH(L408,Journal!$AI$7:$AI$506,0)))</f>
        <v/>
      </c>
      <c r="O408" s="34" t="str">
        <f aca="false">IF(L408&gt;$B$6,"",INDEX(Journal!$AC$7:$AC$506,MATCH(L408,Journal!$AI$7:$AI$506,0)))</f>
        <v/>
      </c>
      <c r="P408" s="35" t="str">
        <f aca="false">IF(L408&gt;$B$6,"",INDEX(Journal!$AD$7:$AD$506,MATCH(L408,Journal!$AI$7:$AI$506,0)))</f>
        <v/>
      </c>
      <c r="Q408" s="34" t="n">
        <f aca="false">IF(L408&gt;$B$6,Q407,Q407+O408)</f>
        <v>20000</v>
      </c>
      <c r="R408" s="34" t="str">
        <f aca="false">IF(L408&gt;$B$6,"",Q408-MAX($Q$5:Q408))</f>
        <v/>
      </c>
    </row>
    <row r="409" customFormat="false" ht="15" hidden="false" customHeight="false" outlineLevel="0" collapsed="false">
      <c r="L409" s="0" t="n">
        <v>404</v>
      </c>
      <c r="M409" s="37" t="str">
        <f aca="false">IF(L409&gt;$B$6,"",INDEX(Journal!$P$7:$P$506,MATCH(L409,Journal!$AI$7:$AI$506,0)))</f>
        <v/>
      </c>
      <c r="N409" s="0" t="str">
        <f aca="false">IF(L409&gt;$B$6,"",INDEX(Journal!$A$7:$A$506,MATCH(L409,Journal!$AI$7:$AI$506,0)))</f>
        <v/>
      </c>
      <c r="O409" s="34" t="str">
        <f aca="false">IF(L409&gt;$B$6,"",INDEX(Journal!$AC$7:$AC$506,MATCH(L409,Journal!$AI$7:$AI$506,0)))</f>
        <v/>
      </c>
      <c r="P409" s="35" t="str">
        <f aca="false">IF(L409&gt;$B$6,"",INDEX(Journal!$AD$7:$AD$506,MATCH(L409,Journal!$AI$7:$AI$506,0)))</f>
        <v/>
      </c>
      <c r="Q409" s="34" t="n">
        <f aca="false">IF(L409&gt;$B$6,Q408,Q408+O409)</f>
        <v>20000</v>
      </c>
      <c r="R409" s="34" t="str">
        <f aca="false">IF(L409&gt;$B$6,"",Q409-MAX($Q$5:Q409))</f>
        <v/>
      </c>
    </row>
    <row r="410" customFormat="false" ht="15" hidden="false" customHeight="false" outlineLevel="0" collapsed="false">
      <c r="L410" s="0" t="n">
        <v>405</v>
      </c>
      <c r="M410" s="37" t="str">
        <f aca="false">IF(L410&gt;$B$6,"",INDEX(Journal!$P$7:$P$506,MATCH(L410,Journal!$AI$7:$AI$506,0)))</f>
        <v/>
      </c>
      <c r="N410" s="0" t="str">
        <f aca="false">IF(L410&gt;$B$6,"",INDEX(Journal!$A$7:$A$506,MATCH(L410,Journal!$AI$7:$AI$506,0)))</f>
        <v/>
      </c>
      <c r="O410" s="34" t="str">
        <f aca="false">IF(L410&gt;$B$6,"",INDEX(Journal!$AC$7:$AC$506,MATCH(L410,Journal!$AI$7:$AI$506,0)))</f>
        <v/>
      </c>
      <c r="P410" s="35" t="str">
        <f aca="false">IF(L410&gt;$B$6,"",INDEX(Journal!$AD$7:$AD$506,MATCH(L410,Journal!$AI$7:$AI$506,0)))</f>
        <v/>
      </c>
      <c r="Q410" s="34" t="n">
        <f aca="false">IF(L410&gt;$B$6,Q409,Q409+O410)</f>
        <v>20000</v>
      </c>
      <c r="R410" s="34" t="str">
        <f aca="false">IF(L410&gt;$B$6,"",Q410-MAX($Q$5:Q410))</f>
        <v/>
      </c>
    </row>
    <row r="411" customFormat="false" ht="15" hidden="false" customHeight="false" outlineLevel="0" collapsed="false">
      <c r="L411" s="0" t="n">
        <v>406</v>
      </c>
      <c r="M411" s="37" t="str">
        <f aca="false">IF(L411&gt;$B$6,"",INDEX(Journal!$P$7:$P$506,MATCH(L411,Journal!$AI$7:$AI$506,0)))</f>
        <v/>
      </c>
      <c r="N411" s="0" t="str">
        <f aca="false">IF(L411&gt;$B$6,"",INDEX(Journal!$A$7:$A$506,MATCH(L411,Journal!$AI$7:$AI$506,0)))</f>
        <v/>
      </c>
      <c r="O411" s="34" t="str">
        <f aca="false">IF(L411&gt;$B$6,"",INDEX(Journal!$AC$7:$AC$506,MATCH(L411,Journal!$AI$7:$AI$506,0)))</f>
        <v/>
      </c>
      <c r="P411" s="35" t="str">
        <f aca="false">IF(L411&gt;$B$6,"",INDEX(Journal!$AD$7:$AD$506,MATCH(L411,Journal!$AI$7:$AI$506,0)))</f>
        <v/>
      </c>
      <c r="Q411" s="34" t="n">
        <f aca="false">IF(L411&gt;$B$6,Q410,Q410+O411)</f>
        <v>20000</v>
      </c>
      <c r="R411" s="34" t="str">
        <f aca="false">IF(L411&gt;$B$6,"",Q411-MAX($Q$5:Q411))</f>
        <v/>
      </c>
    </row>
    <row r="412" customFormat="false" ht="15" hidden="false" customHeight="false" outlineLevel="0" collapsed="false">
      <c r="L412" s="0" t="n">
        <v>407</v>
      </c>
      <c r="M412" s="37" t="str">
        <f aca="false">IF(L412&gt;$B$6,"",INDEX(Journal!$P$7:$P$506,MATCH(L412,Journal!$AI$7:$AI$506,0)))</f>
        <v/>
      </c>
      <c r="N412" s="0" t="str">
        <f aca="false">IF(L412&gt;$B$6,"",INDEX(Journal!$A$7:$A$506,MATCH(L412,Journal!$AI$7:$AI$506,0)))</f>
        <v/>
      </c>
      <c r="O412" s="34" t="str">
        <f aca="false">IF(L412&gt;$B$6,"",INDEX(Journal!$AC$7:$AC$506,MATCH(L412,Journal!$AI$7:$AI$506,0)))</f>
        <v/>
      </c>
      <c r="P412" s="35" t="str">
        <f aca="false">IF(L412&gt;$B$6,"",INDEX(Journal!$AD$7:$AD$506,MATCH(L412,Journal!$AI$7:$AI$506,0)))</f>
        <v/>
      </c>
      <c r="Q412" s="34" t="n">
        <f aca="false">IF(L412&gt;$B$6,Q411,Q411+O412)</f>
        <v>20000</v>
      </c>
      <c r="R412" s="34" t="str">
        <f aca="false">IF(L412&gt;$B$6,"",Q412-MAX($Q$5:Q412))</f>
        <v/>
      </c>
    </row>
    <row r="413" customFormat="false" ht="15" hidden="false" customHeight="false" outlineLevel="0" collapsed="false">
      <c r="L413" s="0" t="n">
        <v>408</v>
      </c>
      <c r="M413" s="37" t="str">
        <f aca="false">IF(L413&gt;$B$6,"",INDEX(Journal!$P$7:$P$506,MATCH(L413,Journal!$AI$7:$AI$506,0)))</f>
        <v/>
      </c>
      <c r="N413" s="0" t="str">
        <f aca="false">IF(L413&gt;$B$6,"",INDEX(Journal!$A$7:$A$506,MATCH(L413,Journal!$AI$7:$AI$506,0)))</f>
        <v/>
      </c>
      <c r="O413" s="34" t="str">
        <f aca="false">IF(L413&gt;$B$6,"",INDEX(Journal!$AC$7:$AC$506,MATCH(L413,Journal!$AI$7:$AI$506,0)))</f>
        <v/>
      </c>
      <c r="P413" s="35" t="str">
        <f aca="false">IF(L413&gt;$B$6,"",INDEX(Journal!$AD$7:$AD$506,MATCH(L413,Journal!$AI$7:$AI$506,0)))</f>
        <v/>
      </c>
      <c r="Q413" s="34" t="n">
        <f aca="false">IF(L413&gt;$B$6,Q412,Q412+O413)</f>
        <v>20000</v>
      </c>
      <c r="R413" s="34" t="str">
        <f aca="false">IF(L413&gt;$B$6,"",Q413-MAX($Q$5:Q413))</f>
        <v/>
      </c>
    </row>
    <row r="414" customFormat="false" ht="15" hidden="false" customHeight="false" outlineLevel="0" collapsed="false">
      <c r="L414" s="0" t="n">
        <v>409</v>
      </c>
      <c r="M414" s="37" t="str">
        <f aca="false">IF(L414&gt;$B$6,"",INDEX(Journal!$P$7:$P$506,MATCH(L414,Journal!$AI$7:$AI$506,0)))</f>
        <v/>
      </c>
      <c r="N414" s="0" t="str">
        <f aca="false">IF(L414&gt;$B$6,"",INDEX(Journal!$A$7:$A$506,MATCH(L414,Journal!$AI$7:$AI$506,0)))</f>
        <v/>
      </c>
      <c r="O414" s="34" t="str">
        <f aca="false">IF(L414&gt;$B$6,"",INDEX(Journal!$AC$7:$AC$506,MATCH(L414,Journal!$AI$7:$AI$506,0)))</f>
        <v/>
      </c>
      <c r="P414" s="35" t="str">
        <f aca="false">IF(L414&gt;$B$6,"",INDEX(Journal!$AD$7:$AD$506,MATCH(L414,Journal!$AI$7:$AI$506,0)))</f>
        <v/>
      </c>
      <c r="Q414" s="34" t="n">
        <f aca="false">IF(L414&gt;$B$6,Q413,Q413+O414)</f>
        <v>20000</v>
      </c>
      <c r="R414" s="34" t="str">
        <f aca="false">IF(L414&gt;$B$6,"",Q414-MAX($Q$5:Q414))</f>
        <v/>
      </c>
    </row>
    <row r="415" customFormat="false" ht="15" hidden="false" customHeight="false" outlineLevel="0" collapsed="false">
      <c r="L415" s="0" t="n">
        <v>410</v>
      </c>
      <c r="M415" s="37" t="str">
        <f aca="false">IF(L415&gt;$B$6,"",INDEX(Journal!$P$7:$P$506,MATCH(L415,Journal!$AI$7:$AI$506,0)))</f>
        <v/>
      </c>
      <c r="N415" s="0" t="str">
        <f aca="false">IF(L415&gt;$B$6,"",INDEX(Journal!$A$7:$A$506,MATCH(L415,Journal!$AI$7:$AI$506,0)))</f>
        <v/>
      </c>
      <c r="O415" s="34" t="str">
        <f aca="false">IF(L415&gt;$B$6,"",INDEX(Journal!$AC$7:$AC$506,MATCH(L415,Journal!$AI$7:$AI$506,0)))</f>
        <v/>
      </c>
      <c r="P415" s="35" t="str">
        <f aca="false">IF(L415&gt;$B$6,"",INDEX(Journal!$AD$7:$AD$506,MATCH(L415,Journal!$AI$7:$AI$506,0)))</f>
        <v/>
      </c>
      <c r="Q415" s="34" t="n">
        <f aca="false">IF(L415&gt;$B$6,Q414,Q414+O415)</f>
        <v>20000</v>
      </c>
      <c r="R415" s="34" t="str">
        <f aca="false">IF(L415&gt;$B$6,"",Q415-MAX($Q$5:Q415))</f>
        <v/>
      </c>
    </row>
    <row r="416" customFormat="false" ht="15" hidden="false" customHeight="false" outlineLevel="0" collapsed="false">
      <c r="L416" s="0" t="n">
        <v>411</v>
      </c>
      <c r="M416" s="37" t="str">
        <f aca="false">IF(L416&gt;$B$6,"",INDEX(Journal!$P$7:$P$506,MATCH(L416,Journal!$AI$7:$AI$506,0)))</f>
        <v/>
      </c>
      <c r="N416" s="0" t="str">
        <f aca="false">IF(L416&gt;$B$6,"",INDEX(Journal!$A$7:$A$506,MATCH(L416,Journal!$AI$7:$AI$506,0)))</f>
        <v/>
      </c>
      <c r="O416" s="34" t="str">
        <f aca="false">IF(L416&gt;$B$6,"",INDEX(Journal!$AC$7:$AC$506,MATCH(L416,Journal!$AI$7:$AI$506,0)))</f>
        <v/>
      </c>
      <c r="P416" s="35" t="str">
        <f aca="false">IF(L416&gt;$B$6,"",INDEX(Journal!$AD$7:$AD$506,MATCH(L416,Journal!$AI$7:$AI$506,0)))</f>
        <v/>
      </c>
      <c r="Q416" s="34" t="n">
        <f aca="false">IF(L416&gt;$B$6,Q415,Q415+O416)</f>
        <v>20000</v>
      </c>
      <c r="R416" s="34" t="str">
        <f aca="false">IF(L416&gt;$B$6,"",Q416-MAX($Q$5:Q416))</f>
        <v/>
      </c>
    </row>
    <row r="417" customFormat="false" ht="15" hidden="false" customHeight="false" outlineLevel="0" collapsed="false">
      <c r="L417" s="0" t="n">
        <v>412</v>
      </c>
      <c r="M417" s="37" t="str">
        <f aca="false">IF(L417&gt;$B$6,"",INDEX(Journal!$P$7:$P$506,MATCH(L417,Journal!$AI$7:$AI$506,0)))</f>
        <v/>
      </c>
      <c r="N417" s="0" t="str">
        <f aca="false">IF(L417&gt;$B$6,"",INDEX(Journal!$A$7:$A$506,MATCH(L417,Journal!$AI$7:$AI$506,0)))</f>
        <v/>
      </c>
      <c r="O417" s="34" t="str">
        <f aca="false">IF(L417&gt;$B$6,"",INDEX(Journal!$AC$7:$AC$506,MATCH(L417,Journal!$AI$7:$AI$506,0)))</f>
        <v/>
      </c>
      <c r="P417" s="35" t="str">
        <f aca="false">IF(L417&gt;$B$6,"",INDEX(Journal!$AD$7:$AD$506,MATCH(L417,Journal!$AI$7:$AI$506,0)))</f>
        <v/>
      </c>
      <c r="Q417" s="34" t="n">
        <f aca="false">IF(L417&gt;$B$6,Q416,Q416+O417)</f>
        <v>20000</v>
      </c>
      <c r="R417" s="34" t="str">
        <f aca="false">IF(L417&gt;$B$6,"",Q417-MAX($Q$5:Q417))</f>
        <v/>
      </c>
    </row>
    <row r="418" customFormat="false" ht="15" hidden="false" customHeight="false" outlineLevel="0" collapsed="false">
      <c r="L418" s="0" t="n">
        <v>413</v>
      </c>
      <c r="M418" s="37" t="str">
        <f aca="false">IF(L418&gt;$B$6,"",INDEX(Journal!$P$7:$P$506,MATCH(L418,Journal!$AI$7:$AI$506,0)))</f>
        <v/>
      </c>
      <c r="N418" s="0" t="str">
        <f aca="false">IF(L418&gt;$B$6,"",INDEX(Journal!$A$7:$A$506,MATCH(L418,Journal!$AI$7:$AI$506,0)))</f>
        <v/>
      </c>
      <c r="O418" s="34" t="str">
        <f aca="false">IF(L418&gt;$B$6,"",INDEX(Journal!$AC$7:$AC$506,MATCH(L418,Journal!$AI$7:$AI$506,0)))</f>
        <v/>
      </c>
      <c r="P418" s="35" t="str">
        <f aca="false">IF(L418&gt;$B$6,"",INDEX(Journal!$AD$7:$AD$506,MATCH(L418,Journal!$AI$7:$AI$506,0)))</f>
        <v/>
      </c>
      <c r="Q418" s="34" t="n">
        <f aca="false">IF(L418&gt;$B$6,Q417,Q417+O418)</f>
        <v>20000</v>
      </c>
      <c r="R418" s="34" t="str">
        <f aca="false">IF(L418&gt;$B$6,"",Q418-MAX($Q$5:Q418))</f>
        <v/>
      </c>
    </row>
    <row r="419" customFormat="false" ht="15" hidden="false" customHeight="false" outlineLevel="0" collapsed="false">
      <c r="L419" s="0" t="n">
        <v>414</v>
      </c>
      <c r="M419" s="37" t="str">
        <f aca="false">IF(L419&gt;$B$6,"",INDEX(Journal!$P$7:$P$506,MATCH(L419,Journal!$AI$7:$AI$506,0)))</f>
        <v/>
      </c>
      <c r="N419" s="0" t="str">
        <f aca="false">IF(L419&gt;$B$6,"",INDEX(Journal!$A$7:$A$506,MATCH(L419,Journal!$AI$7:$AI$506,0)))</f>
        <v/>
      </c>
      <c r="O419" s="34" t="str">
        <f aca="false">IF(L419&gt;$B$6,"",INDEX(Journal!$AC$7:$AC$506,MATCH(L419,Journal!$AI$7:$AI$506,0)))</f>
        <v/>
      </c>
      <c r="P419" s="35" t="str">
        <f aca="false">IF(L419&gt;$B$6,"",INDEX(Journal!$AD$7:$AD$506,MATCH(L419,Journal!$AI$7:$AI$506,0)))</f>
        <v/>
      </c>
      <c r="Q419" s="34" t="n">
        <f aca="false">IF(L419&gt;$B$6,Q418,Q418+O419)</f>
        <v>20000</v>
      </c>
      <c r="R419" s="34" t="str">
        <f aca="false">IF(L419&gt;$B$6,"",Q419-MAX($Q$5:Q419))</f>
        <v/>
      </c>
    </row>
    <row r="420" customFormat="false" ht="15" hidden="false" customHeight="false" outlineLevel="0" collapsed="false">
      <c r="L420" s="0" t="n">
        <v>415</v>
      </c>
      <c r="M420" s="37" t="str">
        <f aca="false">IF(L420&gt;$B$6,"",INDEX(Journal!$P$7:$P$506,MATCH(L420,Journal!$AI$7:$AI$506,0)))</f>
        <v/>
      </c>
      <c r="N420" s="0" t="str">
        <f aca="false">IF(L420&gt;$B$6,"",INDEX(Journal!$A$7:$A$506,MATCH(L420,Journal!$AI$7:$AI$506,0)))</f>
        <v/>
      </c>
      <c r="O420" s="34" t="str">
        <f aca="false">IF(L420&gt;$B$6,"",INDEX(Journal!$AC$7:$AC$506,MATCH(L420,Journal!$AI$7:$AI$506,0)))</f>
        <v/>
      </c>
      <c r="P420" s="35" t="str">
        <f aca="false">IF(L420&gt;$B$6,"",INDEX(Journal!$AD$7:$AD$506,MATCH(L420,Journal!$AI$7:$AI$506,0)))</f>
        <v/>
      </c>
      <c r="Q420" s="34" t="n">
        <f aca="false">IF(L420&gt;$B$6,Q419,Q419+O420)</f>
        <v>20000</v>
      </c>
      <c r="R420" s="34" t="str">
        <f aca="false">IF(L420&gt;$B$6,"",Q420-MAX($Q$5:Q420))</f>
        <v/>
      </c>
    </row>
    <row r="421" customFormat="false" ht="15" hidden="false" customHeight="false" outlineLevel="0" collapsed="false">
      <c r="L421" s="0" t="n">
        <v>416</v>
      </c>
      <c r="M421" s="37" t="str">
        <f aca="false">IF(L421&gt;$B$6,"",INDEX(Journal!$P$7:$P$506,MATCH(L421,Journal!$AI$7:$AI$506,0)))</f>
        <v/>
      </c>
      <c r="N421" s="0" t="str">
        <f aca="false">IF(L421&gt;$B$6,"",INDEX(Journal!$A$7:$A$506,MATCH(L421,Journal!$AI$7:$AI$506,0)))</f>
        <v/>
      </c>
      <c r="O421" s="34" t="str">
        <f aca="false">IF(L421&gt;$B$6,"",INDEX(Journal!$AC$7:$AC$506,MATCH(L421,Journal!$AI$7:$AI$506,0)))</f>
        <v/>
      </c>
      <c r="P421" s="35" t="str">
        <f aca="false">IF(L421&gt;$B$6,"",INDEX(Journal!$AD$7:$AD$506,MATCH(L421,Journal!$AI$7:$AI$506,0)))</f>
        <v/>
      </c>
      <c r="Q421" s="34" t="n">
        <f aca="false">IF(L421&gt;$B$6,Q420,Q420+O421)</f>
        <v>20000</v>
      </c>
      <c r="R421" s="34" t="str">
        <f aca="false">IF(L421&gt;$B$6,"",Q421-MAX($Q$5:Q421))</f>
        <v/>
      </c>
    </row>
    <row r="422" customFormat="false" ht="15" hidden="false" customHeight="false" outlineLevel="0" collapsed="false">
      <c r="L422" s="0" t="n">
        <v>417</v>
      </c>
      <c r="M422" s="37" t="str">
        <f aca="false">IF(L422&gt;$B$6,"",INDEX(Journal!$P$7:$P$506,MATCH(L422,Journal!$AI$7:$AI$506,0)))</f>
        <v/>
      </c>
      <c r="N422" s="0" t="str">
        <f aca="false">IF(L422&gt;$B$6,"",INDEX(Journal!$A$7:$A$506,MATCH(L422,Journal!$AI$7:$AI$506,0)))</f>
        <v/>
      </c>
      <c r="O422" s="34" t="str">
        <f aca="false">IF(L422&gt;$B$6,"",INDEX(Journal!$AC$7:$AC$506,MATCH(L422,Journal!$AI$7:$AI$506,0)))</f>
        <v/>
      </c>
      <c r="P422" s="35" t="str">
        <f aca="false">IF(L422&gt;$B$6,"",INDEX(Journal!$AD$7:$AD$506,MATCH(L422,Journal!$AI$7:$AI$506,0)))</f>
        <v/>
      </c>
      <c r="Q422" s="34" t="n">
        <f aca="false">IF(L422&gt;$B$6,Q421,Q421+O422)</f>
        <v>20000</v>
      </c>
      <c r="R422" s="34" t="str">
        <f aca="false">IF(L422&gt;$B$6,"",Q422-MAX($Q$5:Q422))</f>
        <v/>
      </c>
    </row>
    <row r="423" customFormat="false" ht="15" hidden="false" customHeight="false" outlineLevel="0" collapsed="false">
      <c r="L423" s="0" t="n">
        <v>418</v>
      </c>
      <c r="M423" s="37" t="str">
        <f aca="false">IF(L423&gt;$B$6,"",INDEX(Journal!$P$7:$P$506,MATCH(L423,Journal!$AI$7:$AI$506,0)))</f>
        <v/>
      </c>
      <c r="N423" s="0" t="str">
        <f aca="false">IF(L423&gt;$B$6,"",INDEX(Journal!$A$7:$A$506,MATCH(L423,Journal!$AI$7:$AI$506,0)))</f>
        <v/>
      </c>
      <c r="O423" s="34" t="str">
        <f aca="false">IF(L423&gt;$B$6,"",INDEX(Journal!$AC$7:$AC$506,MATCH(L423,Journal!$AI$7:$AI$506,0)))</f>
        <v/>
      </c>
      <c r="P423" s="35" t="str">
        <f aca="false">IF(L423&gt;$B$6,"",INDEX(Journal!$AD$7:$AD$506,MATCH(L423,Journal!$AI$7:$AI$506,0)))</f>
        <v/>
      </c>
      <c r="Q423" s="34" t="n">
        <f aca="false">IF(L423&gt;$B$6,Q422,Q422+O423)</f>
        <v>20000</v>
      </c>
      <c r="R423" s="34" t="str">
        <f aca="false">IF(L423&gt;$B$6,"",Q423-MAX($Q$5:Q423))</f>
        <v/>
      </c>
    </row>
    <row r="424" customFormat="false" ht="15" hidden="false" customHeight="false" outlineLevel="0" collapsed="false">
      <c r="L424" s="0" t="n">
        <v>419</v>
      </c>
      <c r="M424" s="37" t="str">
        <f aca="false">IF(L424&gt;$B$6,"",INDEX(Journal!$P$7:$P$506,MATCH(L424,Journal!$AI$7:$AI$506,0)))</f>
        <v/>
      </c>
      <c r="N424" s="0" t="str">
        <f aca="false">IF(L424&gt;$B$6,"",INDEX(Journal!$A$7:$A$506,MATCH(L424,Journal!$AI$7:$AI$506,0)))</f>
        <v/>
      </c>
      <c r="O424" s="34" t="str">
        <f aca="false">IF(L424&gt;$B$6,"",INDEX(Journal!$AC$7:$AC$506,MATCH(L424,Journal!$AI$7:$AI$506,0)))</f>
        <v/>
      </c>
      <c r="P424" s="35" t="str">
        <f aca="false">IF(L424&gt;$B$6,"",INDEX(Journal!$AD$7:$AD$506,MATCH(L424,Journal!$AI$7:$AI$506,0)))</f>
        <v/>
      </c>
      <c r="Q424" s="34" t="n">
        <f aca="false">IF(L424&gt;$B$6,Q423,Q423+O424)</f>
        <v>20000</v>
      </c>
      <c r="R424" s="34" t="str">
        <f aca="false">IF(L424&gt;$B$6,"",Q424-MAX($Q$5:Q424))</f>
        <v/>
      </c>
    </row>
    <row r="425" customFormat="false" ht="15" hidden="false" customHeight="false" outlineLevel="0" collapsed="false">
      <c r="L425" s="0" t="n">
        <v>420</v>
      </c>
      <c r="M425" s="37" t="str">
        <f aca="false">IF(L425&gt;$B$6,"",INDEX(Journal!$P$7:$P$506,MATCH(L425,Journal!$AI$7:$AI$506,0)))</f>
        <v/>
      </c>
      <c r="N425" s="0" t="str">
        <f aca="false">IF(L425&gt;$B$6,"",INDEX(Journal!$A$7:$A$506,MATCH(L425,Journal!$AI$7:$AI$506,0)))</f>
        <v/>
      </c>
      <c r="O425" s="34" t="str">
        <f aca="false">IF(L425&gt;$B$6,"",INDEX(Journal!$AC$7:$AC$506,MATCH(L425,Journal!$AI$7:$AI$506,0)))</f>
        <v/>
      </c>
      <c r="P425" s="35" t="str">
        <f aca="false">IF(L425&gt;$B$6,"",INDEX(Journal!$AD$7:$AD$506,MATCH(L425,Journal!$AI$7:$AI$506,0)))</f>
        <v/>
      </c>
      <c r="Q425" s="34" t="n">
        <f aca="false">IF(L425&gt;$B$6,Q424,Q424+O425)</f>
        <v>20000</v>
      </c>
      <c r="R425" s="34" t="str">
        <f aca="false">IF(L425&gt;$B$6,"",Q425-MAX($Q$5:Q425))</f>
        <v/>
      </c>
    </row>
    <row r="426" customFormat="false" ht="15" hidden="false" customHeight="false" outlineLevel="0" collapsed="false">
      <c r="L426" s="0" t="n">
        <v>421</v>
      </c>
      <c r="M426" s="37" t="str">
        <f aca="false">IF(L426&gt;$B$6,"",INDEX(Journal!$P$7:$P$506,MATCH(L426,Journal!$AI$7:$AI$506,0)))</f>
        <v/>
      </c>
      <c r="N426" s="0" t="str">
        <f aca="false">IF(L426&gt;$B$6,"",INDEX(Journal!$A$7:$A$506,MATCH(L426,Journal!$AI$7:$AI$506,0)))</f>
        <v/>
      </c>
      <c r="O426" s="34" t="str">
        <f aca="false">IF(L426&gt;$B$6,"",INDEX(Journal!$AC$7:$AC$506,MATCH(L426,Journal!$AI$7:$AI$506,0)))</f>
        <v/>
      </c>
      <c r="P426" s="35" t="str">
        <f aca="false">IF(L426&gt;$B$6,"",INDEX(Journal!$AD$7:$AD$506,MATCH(L426,Journal!$AI$7:$AI$506,0)))</f>
        <v/>
      </c>
      <c r="Q426" s="34" t="n">
        <f aca="false">IF(L426&gt;$B$6,Q425,Q425+O426)</f>
        <v>20000</v>
      </c>
      <c r="R426" s="34" t="str">
        <f aca="false">IF(L426&gt;$B$6,"",Q426-MAX($Q$5:Q426))</f>
        <v/>
      </c>
    </row>
    <row r="427" customFormat="false" ht="15" hidden="false" customHeight="false" outlineLevel="0" collapsed="false">
      <c r="L427" s="0" t="n">
        <v>422</v>
      </c>
      <c r="M427" s="37" t="str">
        <f aca="false">IF(L427&gt;$B$6,"",INDEX(Journal!$P$7:$P$506,MATCH(L427,Journal!$AI$7:$AI$506,0)))</f>
        <v/>
      </c>
      <c r="N427" s="0" t="str">
        <f aca="false">IF(L427&gt;$B$6,"",INDEX(Journal!$A$7:$A$506,MATCH(L427,Journal!$AI$7:$AI$506,0)))</f>
        <v/>
      </c>
      <c r="O427" s="34" t="str">
        <f aca="false">IF(L427&gt;$B$6,"",INDEX(Journal!$AC$7:$AC$506,MATCH(L427,Journal!$AI$7:$AI$506,0)))</f>
        <v/>
      </c>
      <c r="P427" s="35" t="str">
        <f aca="false">IF(L427&gt;$B$6,"",INDEX(Journal!$AD$7:$AD$506,MATCH(L427,Journal!$AI$7:$AI$506,0)))</f>
        <v/>
      </c>
      <c r="Q427" s="34" t="n">
        <f aca="false">IF(L427&gt;$B$6,Q426,Q426+O427)</f>
        <v>20000</v>
      </c>
      <c r="R427" s="34" t="str">
        <f aca="false">IF(L427&gt;$B$6,"",Q427-MAX($Q$5:Q427))</f>
        <v/>
      </c>
    </row>
    <row r="428" customFormat="false" ht="15" hidden="false" customHeight="false" outlineLevel="0" collapsed="false">
      <c r="L428" s="0" t="n">
        <v>423</v>
      </c>
      <c r="M428" s="37" t="str">
        <f aca="false">IF(L428&gt;$B$6,"",INDEX(Journal!$P$7:$P$506,MATCH(L428,Journal!$AI$7:$AI$506,0)))</f>
        <v/>
      </c>
      <c r="N428" s="0" t="str">
        <f aca="false">IF(L428&gt;$B$6,"",INDEX(Journal!$A$7:$A$506,MATCH(L428,Journal!$AI$7:$AI$506,0)))</f>
        <v/>
      </c>
      <c r="O428" s="34" t="str">
        <f aca="false">IF(L428&gt;$B$6,"",INDEX(Journal!$AC$7:$AC$506,MATCH(L428,Journal!$AI$7:$AI$506,0)))</f>
        <v/>
      </c>
      <c r="P428" s="35" t="str">
        <f aca="false">IF(L428&gt;$B$6,"",INDEX(Journal!$AD$7:$AD$506,MATCH(L428,Journal!$AI$7:$AI$506,0)))</f>
        <v/>
      </c>
      <c r="Q428" s="34" t="n">
        <f aca="false">IF(L428&gt;$B$6,Q427,Q427+O428)</f>
        <v>20000</v>
      </c>
      <c r="R428" s="34" t="str">
        <f aca="false">IF(L428&gt;$B$6,"",Q428-MAX($Q$5:Q428))</f>
        <v/>
      </c>
    </row>
    <row r="429" customFormat="false" ht="15" hidden="false" customHeight="false" outlineLevel="0" collapsed="false">
      <c r="L429" s="0" t="n">
        <v>424</v>
      </c>
      <c r="M429" s="37" t="str">
        <f aca="false">IF(L429&gt;$B$6,"",INDEX(Journal!$P$7:$P$506,MATCH(L429,Journal!$AI$7:$AI$506,0)))</f>
        <v/>
      </c>
      <c r="N429" s="0" t="str">
        <f aca="false">IF(L429&gt;$B$6,"",INDEX(Journal!$A$7:$A$506,MATCH(L429,Journal!$AI$7:$AI$506,0)))</f>
        <v/>
      </c>
      <c r="O429" s="34" t="str">
        <f aca="false">IF(L429&gt;$B$6,"",INDEX(Journal!$AC$7:$AC$506,MATCH(L429,Journal!$AI$7:$AI$506,0)))</f>
        <v/>
      </c>
      <c r="P429" s="35" t="str">
        <f aca="false">IF(L429&gt;$B$6,"",INDEX(Journal!$AD$7:$AD$506,MATCH(L429,Journal!$AI$7:$AI$506,0)))</f>
        <v/>
      </c>
      <c r="Q429" s="34" t="n">
        <f aca="false">IF(L429&gt;$B$6,Q428,Q428+O429)</f>
        <v>20000</v>
      </c>
      <c r="R429" s="34" t="str">
        <f aca="false">IF(L429&gt;$B$6,"",Q429-MAX($Q$5:Q429))</f>
        <v/>
      </c>
    </row>
    <row r="430" customFormat="false" ht="15" hidden="false" customHeight="false" outlineLevel="0" collapsed="false">
      <c r="L430" s="0" t="n">
        <v>425</v>
      </c>
      <c r="M430" s="37" t="str">
        <f aca="false">IF(L430&gt;$B$6,"",INDEX(Journal!$P$7:$P$506,MATCH(L430,Journal!$AI$7:$AI$506,0)))</f>
        <v/>
      </c>
      <c r="N430" s="0" t="str">
        <f aca="false">IF(L430&gt;$B$6,"",INDEX(Journal!$A$7:$A$506,MATCH(L430,Journal!$AI$7:$AI$506,0)))</f>
        <v/>
      </c>
      <c r="O430" s="34" t="str">
        <f aca="false">IF(L430&gt;$B$6,"",INDEX(Journal!$AC$7:$AC$506,MATCH(L430,Journal!$AI$7:$AI$506,0)))</f>
        <v/>
      </c>
      <c r="P430" s="35" t="str">
        <f aca="false">IF(L430&gt;$B$6,"",INDEX(Journal!$AD$7:$AD$506,MATCH(L430,Journal!$AI$7:$AI$506,0)))</f>
        <v/>
      </c>
      <c r="Q430" s="34" t="n">
        <f aca="false">IF(L430&gt;$B$6,Q429,Q429+O430)</f>
        <v>20000</v>
      </c>
      <c r="R430" s="34" t="str">
        <f aca="false">IF(L430&gt;$B$6,"",Q430-MAX($Q$5:Q430))</f>
        <v/>
      </c>
    </row>
    <row r="431" customFormat="false" ht="15" hidden="false" customHeight="false" outlineLevel="0" collapsed="false">
      <c r="L431" s="0" t="n">
        <v>426</v>
      </c>
      <c r="M431" s="37" t="str">
        <f aca="false">IF(L431&gt;$B$6,"",INDEX(Journal!$P$7:$P$506,MATCH(L431,Journal!$AI$7:$AI$506,0)))</f>
        <v/>
      </c>
      <c r="N431" s="0" t="str">
        <f aca="false">IF(L431&gt;$B$6,"",INDEX(Journal!$A$7:$A$506,MATCH(L431,Journal!$AI$7:$AI$506,0)))</f>
        <v/>
      </c>
      <c r="O431" s="34" t="str">
        <f aca="false">IF(L431&gt;$B$6,"",INDEX(Journal!$AC$7:$AC$506,MATCH(L431,Journal!$AI$7:$AI$506,0)))</f>
        <v/>
      </c>
      <c r="P431" s="35" t="str">
        <f aca="false">IF(L431&gt;$B$6,"",INDEX(Journal!$AD$7:$AD$506,MATCH(L431,Journal!$AI$7:$AI$506,0)))</f>
        <v/>
      </c>
      <c r="Q431" s="34" t="n">
        <f aca="false">IF(L431&gt;$B$6,Q430,Q430+O431)</f>
        <v>20000</v>
      </c>
      <c r="R431" s="34" t="str">
        <f aca="false">IF(L431&gt;$B$6,"",Q431-MAX($Q$5:Q431))</f>
        <v/>
      </c>
    </row>
    <row r="432" customFormat="false" ht="15" hidden="false" customHeight="false" outlineLevel="0" collapsed="false">
      <c r="L432" s="0" t="n">
        <v>427</v>
      </c>
      <c r="M432" s="37" t="str">
        <f aca="false">IF(L432&gt;$B$6,"",INDEX(Journal!$P$7:$P$506,MATCH(L432,Journal!$AI$7:$AI$506,0)))</f>
        <v/>
      </c>
      <c r="N432" s="0" t="str">
        <f aca="false">IF(L432&gt;$B$6,"",INDEX(Journal!$A$7:$A$506,MATCH(L432,Journal!$AI$7:$AI$506,0)))</f>
        <v/>
      </c>
      <c r="O432" s="34" t="str">
        <f aca="false">IF(L432&gt;$B$6,"",INDEX(Journal!$AC$7:$AC$506,MATCH(L432,Journal!$AI$7:$AI$506,0)))</f>
        <v/>
      </c>
      <c r="P432" s="35" t="str">
        <f aca="false">IF(L432&gt;$B$6,"",INDEX(Journal!$AD$7:$AD$506,MATCH(L432,Journal!$AI$7:$AI$506,0)))</f>
        <v/>
      </c>
      <c r="Q432" s="34" t="n">
        <f aca="false">IF(L432&gt;$B$6,Q431,Q431+O432)</f>
        <v>20000</v>
      </c>
      <c r="R432" s="34" t="str">
        <f aca="false">IF(L432&gt;$B$6,"",Q432-MAX($Q$5:Q432))</f>
        <v/>
      </c>
    </row>
    <row r="433" customFormat="false" ht="15" hidden="false" customHeight="false" outlineLevel="0" collapsed="false">
      <c r="L433" s="0" t="n">
        <v>428</v>
      </c>
      <c r="M433" s="37" t="str">
        <f aca="false">IF(L433&gt;$B$6,"",INDEX(Journal!$P$7:$P$506,MATCH(L433,Journal!$AI$7:$AI$506,0)))</f>
        <v/>
      </c>
      <c r="N433" s="0" t="str">
        <f aca="false">IF(L433&gt;$B$6,"",INDEX(Journal!$A$7:$A$506,MATCH(L433,Journal!$AI$7:$AI$506,0)))</f>
        <v/>
      </c>
      <c r="O433" s="34" t="str">
        <f aca="false">IF(L433&gt;$B$6,"",INDEX(Journal!$AC$7:$AC$506,MATCH(L433,Journal!$AI$7:$AI$506,0)))</f>
        <v/>
      </c>
      <c r="P433" s="35" t="str">
        <f aca="false">IF(L433&gt;$B$6,"",INDEX(Journal!$AD$7:$AD$506,MATCH(L433,Journal!$AI$7:$AI$506,0)))</f>
        <v/>
      </c>
      <c r="Q433" s="34" t="n">
        <f aca="false">IF(L433&gt;$B$6,Q432,Q432+O433)</f>
        <v>20000</v>
      </c>
      <c r="R433" s="34" t="str">
        <f aca="false">IF(L433&gt;$B$6,"",Q433-MAX($Q$5:Q433))</f>
        <v/>
      </c>
    </row>
    <row r="434" customFormat="false" ht="15" hidden="false" customHeight="false" outlineLevel="0" collapsed="false">
      <c r="L434" s="0" t="n">
        <v>429</v>
      </c>
      <c r="M434" s="37" t="str">
        <f aca="false">IF(L434&gt;$B$6,"",INDEX(Journal!$P$7:$P$506,MATCH(L434,Journal!$AI$7:$AI$506,0)))</f>
        <v/>
      </c>
      <c r="N434" s="0" t="str">
        <f aca="false">IF(L434&gt;$B$6,"",INDEX(Journal!$A$7:$A$506,MATCH(L434,Journal!$AI$7:$AI$506,0)))</f>
        <v/>
      </c>
      <c r="O434" s="34" t="str">
        <f aca="false">IF(L434&gt;$B$6,"",INDEX(Journal!$AC$7:$AC$506,MATCH(L434,Journal!$AI$7:$AI$506,0)))</f>
        <v/>
      </c>
      <c r="P434" s="35" t="str">
        <f aca="false">IF(L434&gt;$B$6,"",INDEX(Journal!$AD$7:$AD$506,MATCH(L434,Journal!$AI$7:$AI$506,0)))</f>
        <v/>
      </c>
      <c r="Q434" s="34" t="n">
        <f aca="false">IF(L434&gt;$B$6,Q433,Q433+O434)</f>
        <v>20000</v>
      </c>
      <c r="R434" s="34" t="str">
        <f aca="false">IF(L434&gt;$B$6,"",Q434-MAX($Q$5:Q434))</f>
        <v/>
      </c>
    </row>
    <row r="435" customFormat="false" ht="15" hidden="false" customHeight="false" outlineLevel="0" collapsed="false">
      <c r="L435" s="0" t="n">
        <v>430</v>
      </c>
      <c r="M435" s="37" t="str">
        <f aca="false">IF(L435&gt;$B$6,"",INDEX(Journal!$P$7:$P$506,MATCH(L435,Journal!$AI$7:$AI$506,0)))</f>
        <v/>
      </c>
      <c r="N435" s="0" t="str">
        <f aca="false">IF(L435&gt;$B$6,"",INDEX(Journal!$A$7:$A$506,MATCH(L435,Journal!$AI$7:$AI$506,0)))</f>
        <v/>
      </c>
      <c r="O435" s="34" t="str">
        <f aca="false">IF(L435&gt;$B$6,"",INDEX(Journal!$AC$7:$AC$506,MATCH(L435,Journal!$AI$7:$AI$506,0)))</f>
        <v/>
      </c>
      <c r="P435" s="35" t="str">
        <f aca="false">IF(L435&gt;$B$6,"",INDEX(Journal!$AD$7:$AD$506,MATCH(L435,Journal!$AI$7:$AI$506,0)))</f>
        <v/>
      </c>
      <c r="Q435" s="34" t="n">
        <f aca="false">IF(L435&gt;$B$6,Q434,Q434+O435)</f>
        <v>20000</v>
      </c>
      <c r="R435" s="34" t="str">
        <f aca="false">IF(L435&gt;$B$6,"",Q435-MAX($Q$5:Q435))</f>
        <v/>
      </c>
    </row>
    <row r="436" customFormat="false" ht="15" hidden="false" customHeight="false" outlineLevel="0" collapsed="false">
      <c r="L436" s="0" t="n">
        <v>431</v>
      </c>
      <c r="M436" s="37" t="str">
        <f aca="false">IF(L436&gt;$B$6,"",INDEX(Journal!$P$7:$P$506,MATCH(L436,Journal!$AI$7:$AI$506,0)))</f>
        <v/>
      </c>
      <c r="N436" s="0" t="str">
        <f aca="false">IF(L436&gt;$B$6,"",INDEX(Journal!$A$7:$A$506,MATCH(L436,Journal!$AI$7:$AI$506,0)))</f>
        <v/>
      </c>
      <c r="O436" s="34" t="str">
        <f aca="false">IF(L436&gt;$B$6,"",INDEX(Journal!$AC$7:$AC$506,MATCH(L436,Journal!$AI$7:$AI$506,0)))</f>
        <v/>
      </c>
      <c r="P436" s="35" t="str">
        <f aca="false">IF(L436&gt;$B$6,"",INDEX(Journal!$AD$7:$AD$506,MATCH(L436,Journal!$AI$7:$AI$506,0)))</f>
        <v/>
      </c>
      <c r="Q436" s="34" t="n">
        <f aca="false">IF(L436&gt;$B$6,Q435,Q435+O436)</f>
        <v>20000</v>
      </c>
      <c r="R436" s="34" t="str">
        <f aca="false">IF(L436&gt;$B$6,"",Q436-MAX($Q$5:Q436))</f>
        <v/>
      </c>
    </row>
    <row r="437" customFormat="false" ht="15" hidden="false" customHeight="false" outlineLevel="0" collapsed="false">
      <c r="L437" s="0" t="n">
        <v>432</v>
      </c>
      <c r="M437" s="37" t="str">
        <f aca="false">IF(L437&gt;$B$6,"",INDEX(Journal!$P$7:$P$506,MATCH(L437,Journal!$AI$7:$AI$506,0)))</f>
        <v/>
      </c>
      <c r="N437" s="0" t="str">
        <f aca="false">IF(L437&gt;$B$6,"",INDEX(Journal!$A$7:$A$506,MATCH(L437,Journal!$AI$7:$AI$506,0)))</f>
        <v/>
      </c>
      <c r="O437" s="34" t="str">
        <f aca="false">IF(L437&gt;$B$6,"",INDEX(Journal!$AC$7:$AC$506,MATCH(L437,Journal!$AI$7:$AI$506,0)))</f>
        <v/>
      </c>
      <c r="P437" s="35" t="str">
        <f aca="false">IF(L437&gt;$B$6,"",INDEX(Journal!$AD$7:$AD$506,MATCH(L437,Journal!$AI$7:$AI$506,0)))</f>
        <v/>
      </c>
      <c r="Q437" s="34" t="n">
        <f aca="false">IF(L437&gt;$B$6,Q436,Q436+O437)</f>
        <v>20000</v>
      </c>
      <c r="R437" s="34" t="str">
        <f aca="false">IF(L437&gt;$B$6,"",Q437-MAX($Q$5:Q437))</f>
        <v/>
      </c>
    </row>
    <row r="438" customFormat="false" ht="15" hidden="false" customHeight="false" outlineLevel="0" collapsed="false">
      <c r="L438" s="0" t="n">
        <v>433</v>
      </c>
      <c r="M438" s="37" t="str">
        <f aca="false">IF(L438&gt;$B$6,"",INDEX(Journal!$P$7:$P$506,MATCH(L438,Journal!$AI$7:$AI$506,0)))</f>
        <v/>
      </c>
      <c r="N438" s="0" t="str">
        <f aca="false">IF(L438&gt;$B$6,"",INDEX(Journal!$A$7:$A$506,MATCH(L438,Journal!$AI$7:$AI$506,0)))</f>
        <v/>
      </c>
      <c r="O438" s="34" t="str">
        <f aca="false">IF(L438&gt;$B$6,"",INDEX(Journal!$AC$7:$AC$506,MATCH(L438,Journal!$AI$7:$AI$506,0)))</f>
        <v/>
      </c>
      <c r="P438" s="35" t="str">
        <f aca="false">IF(L438&gt;$B$6,"",INDEX(Journal!$AD$7:$AD$506,MATCH(L438,Journal!$AI$7:$AI$506,0)))</f>
        <v/>
      </c>
      <c r="Q438" s="34" t="n">
        <f aca="false">IF(L438&gt;$B$6,Q437,Q437+O438)</f>
        <v>20000</v>
      </c>
      <c r="R438" s="34" t="str">
        <f aca="false">IF(L438&gt;$B$6,"",Q438-MAX($Q$5:Q438))</f>
        <v/>
      </c>
    </row>
    <row r="439" customFormat="false" ht="15" hidden="false" customHeight="false" outlineLevel="0" collapsed="false">
      <c r="L439" s="0" t="n">
        <v>434</v>
      </c>
      <c r="M439" s="37" t="str">
        <f aca="false">IF(L439&gt;$B$6,"",INDEX(Journal!$P$7:$P$506,MATCH(L439,Journal!$AI$7:$AI$506,0)))</f>
        <v/>
      </c>
      <c r="N439" s="0" t="str">
        <f aca="false">IF(L439&gt;$B$6,"",INDEX(Journal!$A$7:$A$506,MATCH(L439,Journal!$AI$7:$AI$506,0)))</f>
        <v/>
      </c>
      <c r="O439" s="34" t="str">
        <f aca="false">IF(L439&gt;$B$6,"",INDEX(Journal!$AC$7:$AC$506,MATCH(L439,Journal!$AI$7:$AI$506,0)))</f>
        <v/>
      </c>
      <c r="P439" s="35" t="str">
        <f aca="false">IF(L439&gt;$B$6,"",INDEX(Journal!$AD$7:$AD$506,MATCH(L439,Journal!$AI$7:$AI$506,0)))</f>
        <v/>
      </c>
      <c r="Q439" s="34" t="n">
        <f aca="false">IF(L439&gt;$B$6,Q438,Q438+O439)</f>
        <v>20000</v>
      </c>
      <c r="R439" s="34" t="str">
        <f aca="false">IF(L439&gt;$B$6,"",Q439-MAX($Q$5:Q439))</f>
        <v/>
      </c>
    </row>
    <row r="440" customFormat="false" ht="15" hidden="false" customHeight="false" outlineLevel="0" collapsed="false">
      <c r="L440" s="0" t="n">
        <v>435</v>
      </c>
      <c r="M440" s="37" t="str">
        <f aca="false">IF(L440&gt;$B$6,"",INDEX(Journal!$P$7:$P$506,MATCH(L440,Journal!$AI$7:$AI$506,0)))</f>
        <v/>
      </c>
      <c r="N440" s="0" t="str">
        <f aca="false">IF(L440&gt;$B$6,"",INDEX(Journal!$A$7:$A$506,MATCH(L440,Journal!$AI$7:$AI$506,0)))</f>
        <v/>
      </c>
      <c r="O440" s="34" t="str">
        <f aca="false">IF(L440&gt;$B$6,"",INDEX(Journal!$AC$7:$AC$506,MATCH(L440,Journal!$AI$7:$AI$506,0)))</f>
        <v/>
      </c>
      <c r="P440" s="35" t="str">
        <f aca="false">IF(L440&gt;$B$6,"",INDEX(Journal!$AD$7:$AD$506,MATCH(L440,Journal!$AI$7:$AI$506,0)))</f>
        <v/>
      </c>
      <c r="Q440" s="34" t="n">
        <f aca="false">IF(L440&gt;$B$6,Q439,Q439+O440)</f>
        <v>20000</v>
      </c>
      <c r="R440" s="34" t="str">
        <f aca="false">IF(L440&gt;$B$6,"",Q440-MAX($Q$5:Q440))</f>
        <v/>
      </c>
    </row>
    <row r="441" customFormat="false" ht="15" hidden="false" customHeight="false" outlineLevel="0" collapsed="false">
      <c r="L441" s="0" t="n">
        <v>436</v>
      </c>
      <c r="M441" s="37" t="str">
        <f aca="false">IF(L441&gt;$B$6,"",INDEX(Journal!$P$7:$P$506,MATCH(L441,Journal!$AI$7:$AI$506,0)))</f>
        <v/>
      </c>
      <c r="N441" s="0" t="str">
        <f aca="false">IF(L441&gt;$B$6,"",INDEX(Journal!$A$7:$A$506,MATCH(L441,Journal!$AI$7:$AI$506,0)))</f>
        <v/>
      </c>
      <c r="O441" s="34" t="str">
        <f aca="false">IF(L441&gt;$B$6,"",INDEX(Journal!$AC$7:$AC$506,MATCH(L441,Journal!$AI$7:$AI$506,0)))</f>
        <v/>
      </c>
      <c r="P441" s="35" t="str">
        <f aca="false">IF(L441&gt;$B$6,"",INDEX(Journal!$AD$7:$AD$506,MATCH(L441,Journal!$AI$7:$AI$506,0)))</f>
        <v/>
      </c>
      <c r="Q441" s="34" t="n">
        <f aca="false">IF(L441&gt;$B$6,Q440,Q440+O441)</f>
        <v>20000</v>
      </c>
      <c r="R441" s="34" t="str">
        <f aca="false">IF(L441&gt;$B$6,"",Q441-MAX($Q$5:Q441))</f>
        <v/>
      </c>
    </row>
    <row r="442" customFormat="false" ht="15" hidden="false" customHeight="false" outlineLevel="0" collapsed="false">
      <c r="L442" s="0" t="n">
        <v>437</v>
      </c>
      <c r="M442" s="37" t="str">
        <f aca="false">IF(L442&gt;$B$6,"",INDEX(Journal!$P$7:$P$506,MATCH(L442,Journal!$AI$7:$AI$506,0)))</f>
        <v/>
      </c>
      <c r="N442" s="0" t="str">
        <f aca="false">IF(L442&gt;$B$6,"",INDEX(Journal!$A$7:$A$506,MATCH(L442,Journal!$AI$7:$AI$506,0)))</f>
        <v/>
      </c>
      <c r="O442" s="34" t="str">
        <f aca="false">IF(L442&gt;$B$6,"",INDEX(Journal!$AC$7:$AC$506,MATCH(L442,Journal!$AI$7:$AI$506,0)))</f>
        <v/>
      </c>
      <c r="P442" s="35" t="str">
        <f aca="false">IF(L442&gt;$B$6,"",INDEX(Journal!$AD$7:$AD$506,MATCH(L442,Journal!$AI$7:$AI$506,0)))</f>
        <v/>
      </c>
      <c r="Q442" s="34" t="n">
        <f aca="false">IF(L442&gt;$B$6,Q441,Q441+O442)</f>
        <v>20000</v>
      </c>
      <c r="R442" s="34" t="str">
        <f aca="false">IF(L442&gt;$B$6,"",Q442-MAX($Q$5:Q442))</f>
        <v/>
      </c>
    </row>
    <row r="443" customFormat="false" ht="15" hidden="false" customHeight="false" outlineLevel="0" collapsed="false">
      <c r="L443" s="0" t="n">
        <v>438</v>
      </c>
      <c r="M443" s="37" t="str">
        <f aca="false">IF(L443&gt;$B$6,"",INDEX(Journal!$P$7:$P$506,MATCH(L443,Journal!$AI$7:$AI$506,0)))</f>
        <v/>
      </c>
      <c r="N443" s="0" t="str">
        <f aca="false">IF(L443&gt;$B$6,"",INDEX(Journal!$A$7:$A$506,MATCH(L443,Journal!$AI$7:$AI$506,0)))</f>
        <v/>
      </c>
      <c r="O443" s="34" t="str">
        <f aca="false">IF(L443&gt;$B$6,"",INDEX(Journal!$AC$7:$AC$506,MATCH(L443,Journal!$AI$7:$AI$506,0)))</f>
        <v/>
      </c>
      <c r="P443" s="35" t="str">
        <f aca="false">IF(L443&gt;$B$6,"",INDEX(Journal!$AD$7:$AD$506,MATCH(L443,Journal!$AI$7:$AI$506,0)))</f>
        <v/>
      </c>
      <c r="Q443" s="34" t="n">
        <f aca="false">IF(L443&gt;$B$6,Q442,Q442+O443)</f>
        <v>20000</v>
      </c>
      <c r="R443" s="34" t="str">
        <f aca="false">IF(L443&gt;$B$6,"",Q443-MAX($Q$5:Q443))</f>
        <v/>
      </c>
    </row>
    <row r="444" customFormat="false" ht="15" hidden="false" customHeight="false" outlineLevel="0" collapsed="false">
      <c r="L444" s="0" t="n">
        <v>439</v>
      </c>
      <c r="M444" s="37" t="str">
        <f aca="false">IF(L444&gt;$B$6,"",INDEX(Journal!$P$7:$P$506,MATCH(L444,Journal!$AI$7:$AI$506,0)))</f>
        <v/>
      </c>
      <c r="N444" s="0" t="str">
        <f aca="false">IF(L444&gt;$B$6,"",INDEX(Journal!$A$7:$A$506,MATCH(L444,Journal!$AI$7:$AI$506,0)))</f>
        <v/>
      </c>
      <c r="O444" s="34" t="str">
        <f aca="false">IF(L444&gt;$B$6,"",INDEX(Journal!$AC$7:$AC$506,MATCH(L444,Journal!$AI$7:$AI$506,0)))</f>
        <v/>
      </c>
      <c r="P444" s="35" t="str">
        <f aca="false">IF(L444&gt;$B$6,"",INDEX(Journal!$AD$7:$AD$506,MATCH(L444,Journal!$AI$7:$AI$506,0)))</f>
        <v/>
      </c>
      <c r="Q444" s="34" t="n">
        <f aca="false">IF(L444&gt;$B$6,Q443,Q443+O444)</f>
        <v>20000</v>
      </c>
      <c r="R444" s="34" t="str">
        <f aca="false">IF(L444&gt;$B$6,"",Q444-MAX($Q$5:Q444))</f>
        <v/>
      </c>
    </row>
    <row r="445" customFormat="false" ht="15" hidden="false" customHeight="false" outlineLevel="0" collapsed="false">
      <c r="L445" s="0" t="n">
        <v>440</v>
      </c>
      <c r="M445" s="37" t="str">
        <f aca="false">IF(L445&gt;$B$6,"",INDEX(Journal!$P$7:$P$506,MATCH(L445,Journal!$AI$7:$AI$506,0)))</f>
        <v/>
      </c>
      <c r="N445" s="0" t="str">
        <f aca="false">IF(L445&gt;$B$6,"",INDEX(Journal!$A$7:$A$506,MATCH(L445,Journal!$AI$7:$AI$506,0)))</f>
        <v/>
      </c>
      <c r="O445" s="34" t="str">
        <f aca="false">IF(L445&gt;$B$6,"",INDEX(Journal!$AC$7:$AC$506,MATCH(L445,Journal!$AI$7:$AI$506,0)))</f>
        <v/>
      </c>
      <c r="P445" s="35" t="str">
        <f aca="false">IF(L445&gt;$B$6,"",INDEX(Journal!$AD$7:$AD$506,MATCH(L445,Journal!$AI$7:$AI$506,0)))</f>
        <v/>
      </c>
      <c r="Q445" s="34" t="n">
        <f aca="false">IF(L445&gt;$B$6,Q444,Q444+O445)</f>
        <v>20000</v>
      </c>
      <c r="R445" s="34" t="str">
        <f aca="false">IF(L445&gt;$B$6,"",Q445-MAX($Q$5:Q445))</f>
        <v/>
      </c>
    </row>
    <row r="446" customFormat="false" ht="15" hidden="false" customHeight="false" outlineLevel="0" collapsed="false">
      <c r="L446" s="0" t="n">
        <v>441</v>
      </c>
      <c r="M446" s="37" t="str">
        <f aca="false">IF(L446&gt;$B$6,"",INDEX(Journal!$P$7:$P$506,MATCH(L446,Journal!$AI$7:$AI$506,0)))</f>
        <v/>
      </c>
      <c r="N446" s="0" t="str">
        <f aca="false">IF(L446&gt;$B$6,"",INDEX(Journal!$A$7:$A$506,MATCH(L446,Journal!$AI$7:$AI$506,0)))</f>
        <v/>
      </c>
      <c r="O446" s="34" t="str">
        <f aca="false">IF(L446&gt;$B$6,"",INDEX(Journal!$AC$7:$AC$506,MATCH(L446,Journal!$AI$7:$AI$506,0)))</f>
        <v/>
      </c>
      <c r="P446" s="35" t="str">
        <f aca="false">IF(L446&gt;$B$6,"",INDEX(Journal!$AD$7:$AD$506,MATCH(L446,Journal!$AI$7:$AI$506,0)))</f>
        <v/>
      </c>
      <c r="Q446" s="34" t="n">
        <f aca="false">IF(L446&gt;$B$6,Q445,Q445+O446)</f>
        <v>20000</v>
      </c>
      <c r="R446" s="34" t="str">
        <f aca="false">IF(L446&gt;$B$6,"",Q446-MAX($Q$5:Q446))</f>
        <v/>
      </c>
    </row>
    <row r="447" customFormat="false" ht="15" hidden="false" customHeight="false" outlineLevel="0" collapsed="false">
      <c r="L447" s="0" t="n">
        <v>442</v>
      </c>
      <c r="M447" s="37" t="str">
        <f aca="false">IF(L447&gt;$B$6,"",INDEX(Journal!$P$7:$P$506,MATCH(L447,Journal!$AI$7:$AI$506,0)))</f>
        <v/>
      </c>
      <c r="N447" s="0" t="str">
        <f aca="false">IF(L447&gt;$B$6,"",INDEX(Journal!$A$7:$A$506,MATCH(L447,Journal!$AI$7:$AI$506,0)))</f>
        <v/>
      </c>
      <c r="O447" s="34" t="str">
        <f aca="false">IF(L447&gt;$B$6,"",INDEX(Journal!$AC$7:$AC$506,MATCH(L447,Journal!$AI$7:$AI$506,0)))</f>
        <v/>
      </c>
      <c r="P447" s="35" t="str">
        <f aca="false">IF(L447&gt;$B$6,"",INDEX(Journal!$AD$7:$AD$506,MATCH(L447,Journal!$AI$7:$AI$506,0)))</f>
        <v/>
      </c>
      <c r="Q447" s="34" t="n">
        <f aca="false">IF(L447&gt;$B$6,Q446,Q446+O447)</f>
        <v>20000</v>
      </c>
      <c r="R447" s="34" t="str">
        <f aca="false">IF(L447&gt;$B$6,"",Q447-MAX($Q$5:Q447))</f>
        <v/>
      </c>
    </row>
    <row r="448" customFormat="false" ht="15" hidden="false" customHeight="false" outlineLevel="0" collapsed="false">
      <c r="L448" s="0" t="n">
        <v>443</v>
      </c>
      <c r="M448" s="37" t="str">
        <f aca="false">IF(L448&gt;$B$6,"",INDEX(Journal!$P$7:$P$506,MATCH(L448,Journal!$AI$7:$AI$506,0)))</f>
        <v/>
      </c>
      <c r="N448" s="0" t="str">
        <f aca="false">IF(L448&gt;$B$6,"",INDEX(Journal!$A$7:$A$506,MATCH(L448,Journal!$AI$7:$AI$506,0)))</f>
        <v/>
      </c>
      <c r="O448" s="34" t="str">
        <f aca="false">IF(L448&gt;$B$6,"",INDEX(Journal!$AC$7:$AC$506,MATCH(L448,Journal!$AI$7:$AI$506,0)))</f>
        <v/>
      </c>
      <c r="P448" s="35" t="str">
        <f aca="false">IF(L448&gt;$B$6,"",INDEX(Journal!$AD$7:$AD$506,MATCH(L448,Journal!$AI$7:$AI$506,0)))</f>
        <v/>
      </c>
      <c r="Q448" s="34" t="n">
        <f aca="false">IF(L448&gt;$B$6,Q447,Q447+O448)</f>
        <v>20000</v>
      </c>
      <c r="R448" s="34" t="str">
        <f aca="false">IF(L448&gt;$B$6,"",Q448-MAX($Q$5:Q448))</f>
        <v/>
      </c>
    </row>
    <row r="449" customFormat="false" ht="15" hidden="false" customHeight="false" outlineLevel="0" collapsed="false">
      <c r="L449" s="0" t="n">
        <v>444</v>
      </c>
      <c r="M449" s="37" t="str">
        <f aca="false">IF(L449&gt;$B$6,"",INDEX(Journal!$P$7:$P$506,MATCH(L449,Journal!$AI$7:$AI$506,0)))</f>
        <v/>
      </c>
      <c r="N449" s="0" t="str">
        <f aca="false">IF(L449&gt;$B$6,"",INDEX(Journal!$A$7:$A$506,MATCH(L449,Journal!$AI$7:$AI$506,0)))</f>
        <v/>
      </c>
      <c r="O449" s="34" t="str">
        <f aca="false">IF(L449&gt;$B$6,"",INDEX(Journal!$AC$7:$AC$506,MATCH(L449,Journal!$AI$7:$AI$506,0)))</f>
        <v/>
      </c>
      <c r="P449" s="35" t="str">
        <f aca="false">IF(L449&gt;$B$6,"",INDEX(Journal!$AD$7:$AD$506,MATCH(L449,Journal!$AI$7:$AI$506,0)))</f>
        <v/>
      </c>
      <c r="Q449" s="34" t="n">
        <f aca="false">IF(L449&gt;$B$6,Q448,Q448+O449)</f>
        <v>20000</v>
      </c>
      <c r="R449" s="34" t="str">
        <f aca="false">IF(L449&gt;$B$6,"",Q449-MAX($Q$5:Q449))</f>
        <v/>
      </c>
    </row>
    <row r="450" customFormat="false" ht="15" hidden="false" customHeight="false" outlineLevel="0" collapsed="false">
      <c r="L450" s="0" t="n">
        <v>445</v>
      </c>
      <c r="M450" s="37" t="str">
        <f aca="false">IF(L450&gt;$B$6,"",INDEX(Journal!$P$7:$P$506,MATCH(L450,Journal!$AI$7:$AI$506,0)))</f>
        <v/>
      </c>
      <c r="N450" s="0" t="str">
        <f aca="false">IF(L450&gt;$B$6,"",INDEX(Journal!$A$7:$A$506,MATCH(L450,Journal!$AI$7:$AI$506,0)))</f>
        <v/>
      </c>
      <c r="O450" s="34" t="str">
        <f aca="false">IF(L450&gt;$B$6,"",INDEX(Journal!$AC$7:$AC$506,MATCH(L450,Journal!$AI$7:$AI$506,0)))</f>
        <v/>
      </c>
      <c r="P450" s="35" t="str">
        <f aca="false">IF(L450&gt;$B$6,"",INDEX(Journal!$AD$7:$AD$506,MATCH(L450,Journal!$AI$7:$AI$506,0)))</f>
        <v/>
      </c>
      <c r="Q450" s="34" t="n">
        <f aca="false">IF(L450&gt;$B$6,Q449,Q449+O450)</f>
        <v>20000</v>
      </c>
      <c r="R450" s="34" t="str">
        <f aca="false">IF(L450&gt;$B$6,"",Q450-MAX($Q$5:Q450))</f>
        <v/>
      </c>
    </row>
    <row r="451" customFormat="false" ht="15" hidden="false" customHeight="false" outlineLevel="0" collapsed="false">
      <c r="L451" s="0" t="n">
        <v>446</v>
      </c>
      <c r="M451" s="37" t="str">
        <f aca="false">IF(L451&gt;$B$6,"",INDEX(Journal!$P$7:$P$506,MATCH(L451,Journal!$AI$7:$AI$506,0)))</f>
        <v/>
      </c>
      <c r="N451" s="0" t="str">
        <f aca="false">IF(L451&gt;$B$6,"",INDEX(Journal!$A$7:$A$506,MATCH(L451,Journal!$AI$7:$AI$506,0)))</f>
        <v/>
      </c>
      <c r="O451" s="34" t="str">
        <f aca="false">IF(L451&gt;$B$6,"",INDEX(Journal!$AC$7:$AC$506,MATCH(L451,Journal!$AI$7:$AI$506,0)))</f>
        <v/>
      </c>
      <c r="P451" s="35" t="str">
        <f aca="false">IF(L451&gt;$B$6,"",INDEX(Journal!$AD$7:$AD$506,MATCH(L451,Journal!$AI$7:$AI$506,0)))</f>
        <v/>
      </c>
      <c r="Q451" s="34" t="n">
        <f aca="false">IF(L451&gt;$B$6,Q450,Q450+O451)</f>
        <v>20000</v>
      </c>
      <c r="R451" s="34" t="str">
        <f aca="false">IF(L451&gt;$B$6,"",Q451-MAX($Q$5:Q451))</f>
        <v/>
      </c>
    </row>
    <row r="452" customFormat="false" ht="15" hidden="false" customHeight="false" outlineLevel="0" collapsed="false">
      <c r="L452" s="0" t="n">
        <v>447</v>
      </c>
      <c r="M452" s="37" t="str">
        <f aca="false">IF(L452&gt;$B$6,"",INDEX(Journal!$P$7:$P$506,MATCH(L452,Journal!$AI$7:$AI$506,0)))</f>
        <v/>
      </c>
      <c r="N452" s="0" t="str">
        <f aca="false">IF(L452&gt;$B$6,"",INDEX(Journal!$A$7:$A$506,MATCH(L452,Journal!$AI$7:$AI$506,0)))</f>
        <v/>
      </c>
      <c r="O452" s="34" t="str">
        <f aca="false">IF(L452&gt;$B$6,"",INDEX(Journal!$AC$7:$AC$506,MATCH(L452,Journal!$AI$7:$AI$506,0)))</f>
        <v/>
      </c>
      <c r="P452" s="35" t="str">
        <f aca="false">IF(L452&gt;$B$6,"",INDEX(Journal!$AD$7:$AD$506,MATCH(L452,Journal!$AI$7:$AI$506,0)))</f>
        <v/>
      </c>
      <c r="Q452" s="34" t="n">
        <f aca="false">IF(L452&gt;$B$6,Q451,Q451+O452)</f>
        <v>20000</v>
      </c>
      <c r="R452" s="34" t="str">
        <f aca="false">IF(L452&gt;$B$6,"",Q452-MAX($Q$5:Q452))</f>
        <v/>
      </c>
    </row>
    <row r="453" customFormat="false" ht="15" hidden="false" customHeight="false" outlineLevel="0" collapsed="false">
      <c r="L453" s="0" t="n">
        <v>448</v>
      </c>
      <c r="M453" s="37" t="str">
        <f aca="false">IF(L453&gt;$B$6,"",INDEX(Journal!$P$7:$P$506,MATCH(L453,Journal!$AI$7:$AI$506,0)))</f>
        <v/>
      </c>
      <c r="N453" s="0" t="str">
        <f aca="false">IF(L453&gt;$B$6,"",INDEX(Journal!$A$7:$A$506,MATCH(L453,Journal!$AI$7:$AI$506,0)))</f>
        <v/>
      </c>
      <c r="O453" s="34" t="str">
        <f aca="false">IF(L453&gt;$B$6,"",INDEX(Journal!$AC$7:$AC$506,MATCH(L453,Journal!$AI$7:$AI$506,0)))</f>
        <v/>
      </c>
      <c r="P453" s="35" t="str">
        <f aca="false">IF(L453&gt;$B$6,"",INDEX(Journal!$AD$7:$AD$506,MATCH(L453,Journal!$AI$7:$AI$506,0)))</f>
        <v/>
      </c>
      <c r="Q453" s="34" t="n">
        <f aca="false">IF(L453&gt;$B$6,Q452,Q452+O453)</f>
        <v>20000</v>
      </c>
      <c r="R453" s="34" t="str">
        <f aca="false">IF(L453&gt;$B$6,"",Q453-MAX($Q$5:Q453))</f>
        <v/>
      </c>
    </row>
    <row r="454" customFormat="false" ht="15" hidden="false" customHeight="false" outlineLevel="0" collapsed="false">
      <c r="L454" s="0" t="n">
        <v>449</v>
      </c>
      <c r="M454" s="37" t="str">
        <f aca="false">IF(L454&gt;$B$6,"",INDEX(Journal!$P$7:$P$506,MATCH(L454,Journal!$AI$7:$AI$506,0)))</f>
        <v/>
      </c>
      <c r="N454" s="0" t="str">
        <f aca="false">IF(L454&gt;$B$6,"",INDEX(Journal!$A$7:$A$506,MATCH(L454,Journal!$AI$7:$AI$506,0)))</f>
        <v/>
      </c>
      <c r="O454" s="34" t="str">
        <f aca="false">IF(L454&gt;$B$6,"",INDEX(Journal!$AC$7:$AC$506,MATCH(L454,Journal!$AI$7:$AI$506,0)))</f>
        <v/>
      </c>
      <c r="P454" s="35" t="str">
        <f aca="false">IF(L454&gt;$B$6,"",INDEX(Journal!$AD$7:$AD$506,MATCH(L454,Journal!$AI$7:$AI$506,0)))</f>
        <v/>
      </c>
      <c r="Q454" s="34" t="n">
        <f aca="false">IF(L454&gt;$B$6,Q453,Q453+O454)</f>
        <v>20000</v>
      </c>
      <c r="R454" s="34" t="str">
        <f aca="false">IF(L454&gt;$B$6,"",Q454-MAX($Q$5:Q454))</f>
        <v/>
      </c>
    </row>
    <row r="455" customFormat="false" ht="15" hidden="false" customHeight="false" outlineLevel="0" collapsed="false">
      <c r="L455" s="0" t="n">
        <v>450</v>
      </c>
      <c r="M455" s="37" t="str">
        <f aca="false">IF(L455&gt;$B$6,"",INDEX(Journal!$P$7:$P$506,MATCH(L455,Journal!$AI$7:$AI$506,0)))</f>
        <v/>
      </c>
      <c r="N455" s="0" t="str">
        <f aca="false">IF(L455&gt;$B$6,"",INDEX(Journal!$A$7:$A$506,MATCH(L455,Journal!$AI$7:$AI$506,0)))</f>
        <v/>
      </c>
      <c r="O455" s="34" t="str">
        <f aca="false">IF(L455&gt;$B$6,"",INDEX(Journal!$AC$7:$AC$506,MATCH(L455,Journal!$AI$7:$AI$506,0)))</f>
        <v/>
      </c>
      <c r="P455" s="35" t="str">
        <f aca="false">IF(L455&gt;$B$6,"",INDEX(Journal!$AD$7:$AD$506,MATCH(L455,Journal!$AI$7:$AI$506,0)))</f>
        <v/>
      </c>
      <c r="Q455" s="34" t="n">
        <f aca="false">IF(L455&gt;$B$6,Q454,Q454+O455)</f>
        <v>20000</v>
      </c>
      <c r="R455" s="34" t="str">
        <f aca="false">IF(L455&gt;$B$6,"",Q455-MAX($Q$5:Q455))</f>
        <v/>
      </c>
    </row>
    <row r="456" customFormat="false" ht="15" hidden="false" customHeight="false" outlineLevel="0" collapsed="false">
      <c r="L456" s="0" t="n">
        <v>451</v>
      </c>
      <c r="M456" s="37" t="str">
        <f aca="false">IF(L456&gt;$B$6,"",INDEX(Journal!$P$7:$P$506,MATCH(L456,Journal!$AI$7:$AI$506,0)))</f>
        <v/>
      </c>
      <c r="N456" s="0" t="str">
        <f aca="false">IF(L456&gt;$B$6,"",INDEX(Journal!$A$7:$A$506,MATCH(L456,Journal!$AI$7:$AI$506,0)))</f>
        <v/>
      </c>
      <c r="O456" s="34" t="str">
        <f aca="false">IF(L456&gt;$B$6,"",INDEX(Journal!$AC$7:$AC$506,MATCH(L456,Journal!$AI$7:$AI$506,0)))</f>
        <v/>
      </c>
      <c r="P456" s="35" t="str">
        <f aca="false">IF(L456&gt;$B$6,"",INDEX(Journal!$AD$7:$AD$506,MATCH(L456,Journal!$AI$7:$AI$506,0)))</f>
        <v/>
      </c>
      <c r="Q456" s="34" t="n">
        <f aca="false">IF(L456&gt;$B$6,Q455,Q455+O456)</f>
        <v>20000</v>
      </c>
      <c r="R456" s="34" t="str">
        <f aca="false">IF(L456&gt;$B$6,"",Q456-MAX($Q$5:Q456))</f>
        <v/>
      </c>
    </row>
    <row r="457" customFormat="false" ht="15" hidden="false" customHeight="false" outlineLevel="0" collapsed="false">
      <c r="L457" s="0" t="n">
        <v>452</v>
      </c>
      <c r="M457" s="37" t="str">
        <f aca="false">IF(L457&gt;$B$6,"",INDEX(Journal!$P$7:$P$506,MATCH(L457,Journal!$AI$7:$AI$506,0)))</f>
        <v/>
      </c>
      <c r="N457" s="0" t="str">
        <f aca="false">IF(L457&gt;$B$6,"",INDEX(Journal!$A$7:$A$506,MATCH(L457,Journal!$AI$7:$AI$506,0)))</f>
        <v/>
      </c>
      <c r="O457" s="34" t="str">
        <f aca="false">IF(L457&gt;$B$6,"",INDEX(Journal!$AC$7:$AC$506,MATCH(L457,Journal!$AI$7:$AI$506,0)))</f>
        <v/>
      </c>
      <c r="P457" s="35" t="str">
        <f aca="false">IF(L457&gt;$B$6,"",INDEX(Journal!$AD$7:$AD$506,MATCH(L457,Journal!$AI$7:$AI$506,0)))</f>
        <v/>
      </c>
      <c r="Q457" s="34" t="n">
        <f aca="false">IF(L457&gt;$B$6,Q456,Q456+O457)</f>
        <v>20000</v>
      </c>
      <c r="R457" s="34" t="str">
        <f aca="false">IF(L457&gt;$B$6,"",Q457-MAX($Q$5:Q457))</f>
        <v/>
      </c>
    </row>
    <row r="458" customFormat="false" ht="15" hidden="false" customHeight="false" outlineLevel="0" collapsed="false">
      <c r="L458" s="0" t="n">
        <v>453</v>
      </c>
      <c r="M458" s="37" t="str">
        <f aca="false">IF(L458&gt;$B$6,"",INDEX(Journal!$P$7:$P$506,MATCH(L458,Journal!$AI$7:$AI$506,0)))</f>
        <v/>
      </c>
      <c r="N458" s="0" t="str">
        <f aca="false">IF(L458&gt;$B$6,"",INDEX(Journal!$A$7:$A$506,MATCH(L458,Journal!$AI$7:$AI$506,0)))</f>
        <v/>
      </c>
      <c r="O458" s="34" t="str">
        <f aca="false">IF(L458&gt;$B$6,"",INDEX(Journal!$AC$7:$AC$506,MATCH(L458,Journal!$AI$7:$AI$506,0)))</f>
        <v/>
      </c>
      <c r="P458" s="35" t="str">
        <f aca="false">IF(L458&gt;$B$6,"",INDEX(Journal!$AD$7:$AD$506,MATCH(L458,Journal!$AI$7:$AI$506,0)))</f>
        <v/>
      </c>
      <c r="Q458" s="34" t="n">
        <f aca="false">IF(L458&gt;$B$6,Q457,Q457+O458)</f>
        <v>20000</v>
      </c>
      <c r="R458" s="34" t="str">
        <f aca="false">IF(L458&gt;$B$6,"",Q458-MAX($Q$5:Q458))</f>
        <v/>
      </c>
    </row>
    <row r="459" customFormat="false" ht="15" hidden="false" customHeight="false" outlineLevel="0" collapsed="false">
      <c r="L459" s="0" t="n">
        <v>454</v>
      </c>
      <c r="M459" s="37" t="str">
        <f aca="false">IF(L459&gt;$B$6,"",INDEX(Journal!$P$7:$P$506,MATCH(L459,Journal!$AI$7:$AI$506,0)))</f>
        <v/>
      </c>
      <c r="N459" s="0" t="str">
        <f aca="false">IF(L459&gt;$B$6,"",INDEX(Journal!$A$7:$A$506,MATCH(L459,Journal!$AI$7:$AI$506,0)))</f>
        <v/>
      </c>
      <c r="O459" s="34" t="str">
        <f aca="false">IF(L459&gt;$B$6,"",INDEX(Journal!$AC$7:$AC$506,MATCH(L459,Journal!$AI$7:$AI$506,0)))</f>
        <v/>
      </c>
      <c r="P459" s="35" t="str">
        <f aca="false">IF(L459&gt;$B$6,"",INDEX(Journal!$AD$7:$AD$506,MATCH(L459,Journal!$AI$7:$AI$506,0)))</f>
        <v/>
      </c>
      <c r="Q459" s="34" t="n">
        <f aca="false">IF(L459&gt;$B$6,Q458,Q458+O459)</f>
        <v>20000</v>
      </c>
      <c r="R459" s="34" t="str">
        <f aca="false">IF(L459&gt;$B$6,"",Q459-MAX($Q$5:Q459))</f>
        <v/>
      </c>
    </row>
    <row r="460" customFormat="false" ht="15" hidden="false" customHeight="false" outlineLevel="0" collapsed="false">
      <c r="L460" s="0" t="n">
        <v>455</v>
      </c>
      <c r="M460" s="37" t="str">
        <f aca="false">IF(L460&gt;$B$6,"",INDEX(Journal!$P$7:$P$506,MATCH(L460,Journal!$AI$7:$AI$506,0)))</f>
        <v/>
      </c>
      <c r="N460" s="0" t="str">
        <f aca="false">IF(L460&gt;$B$6,"",INDEX(Journal!$A$7:$A$506,MATCH(L460,Journal!$AI$7:$AI$506,0)))</f>
        <v/>
      </c>
      <c r="O460" s="34" t="str">
        <f aca="false">IF(L460&gt;$B$6,"",INDEX(Journal!$AC$7:$AC$506,MATCH(L460,Journal!$AI$7:$AI$506,0)))</f>
        <v/>
      </c>
      <c r="P460" s="35" t="str">
        <f aca="false">IF(L460&gt;$B$6,"",INDEX(Journal!$AD$7:$AD$506,MATCH(L460,Journal!$AI$7:$AI$506,0)))</f>
        <v/>
      </c>
      <c r="Q460" s="34" t="n">
        <f aca="false">IF(L460&gt;$B$6,Q459,Q459+O460)</f>
        <v>20000</v>
      </c>
      <c r="R460" s="34" t="str">
        <f aca="false">IF(L460&gt;$B$6,"",Q460-MAX($Q$5:Q460))</f>
        <v/>
      </c>
    </row>
    <row r="461" customFormat="false" ht="15" hidden="false" customHeight="false" outlineLevel="0" collapsed="false">
      <c r="L461" s="0" t="n">
        <v>456</v>
      </c>
      <c r="M461" s="37" t="str">
        <f aca="false">IF(L461&gt;$B$6,"",INDEX(Journal!$P$7:$P$506,MATCH(L461,Journal!$AI$7:$AI$506,0)))</f>
        <v/>
      </c>
      <c r="N461" s="0" t="str">
        <f aca="false">IF(L461&gt;$B$6,"",INDEX(Journal!$A$7:$A$506,MATCH(L461,Journal!$AI$7:$AI$506,0)))</f>
        <v/>
      </c>
      <c r="O461" s="34" t="str">
        <f aca="false">IF(L461&gt;$B$6,"",INDEX(Journal!$AC$7:$AC$506,MATCH(L461,Journal!$AI$7:$AI$506,0)))</f>
        <v/>
      </c>
      <c r="P461" s="35" t="str">
        <f aca="false">IF(L461&gt;$B$6,"",INDEX(Journal!$AD$7:$AD$506,MATCH(L461,Journal!$AI$7:$AI$506,0)))</f>
        <v/>
      </c>
      <c r="Q461" s="34" t="n">
        <f aca="false">IF(L461&gt;$B$6,Q460,Q460+O461)</f>
        <v>20000</v>
      </c>
      <c r="R461" s="34" t="str">
        <f aca="false">IF(L461&gt;$B$6,"",Q461-MAX($Q$5:Q461))</f>
        <v/>
      </c>
    </row>
    <row r="462" customFormat="false" ht="15" hidden="false" customHeight="false" outlineLevel="0" collapsed="false">
      <c r="L462" s="0" t="n">
        <v>457</v>
      </c>
      <c r="M462" s="37" t="str">
        <f aca="false">IF(L462&gt;$B$6,"",INDEX(Journal!$P$7:$P$506,MATCH(L462,Journal!$AI$7:$AI$506,0)))</f>
        <v/>
      </c>
      <c r="N462" s="0" t="str">
        <f aca="false">IF(L462&gt;$B$6,"",INDEX(Journal!$A$7:$A$506,MATCH(L462,Journal!$AI$7:$AI$506,0)))</f>
        <v/>
      </c>
      <c r="O462" s="34" t="str">
        <f aca="false">IF(L462&gt;$B$6,"",INDEX(Journal!$AC$7:$AC$506,MATCH(L462,Journal!$AI$7:$AI$506,0)))</f>
        <v/>
      </c>
      <c r="P462" s="35" t="str">
        <f aca="false">IF(L462&gt;$B$6,"",INDEX(Journal!$AD$7:$AD$506,MATCH(L462,Journal!$AI$7:$AI$506,0)))</f>
        <v/>
      </c>
      <c r="Q462" s="34" t="n">
        <f aca="false">IF(L462&gt;$B$6,Q461,Q461+O462)</f>
        <v>20000</v>
      </c>
      <c r="R462" s="34" t="str">
        <f aca="false">IF(L462&gt;$B$6,"",Q462-MAX($Q$5:Q462))</f>
        <v/>
      </c>
    </row>
    <row r="463" customFormat="false" ht="15" hidden="false" customHeight="false" outlineLevel="0" collapsed="false">
      <c r="L463" s="0" t="n">
        <v>458</v>
      </c>
      <c r="M463" s="37" t="str">
        <f aca="false">IF(L463&gt;$B$6,"",INDEX(Journal!$P$7:$P$506,MATCH(L463,Journal!$AI$7:$AI$506,0)))</f>
        <v/>
      </c>
      <c r="N463" s="0" t="str">
        <f aca="false">IF(L463&gt;$B$6,"",INDEX(Journal!$A$7:$A$506,MATCH(L463,Journal!$AI$7:$AI$506,0)))</f>
        <v/>
      </c>
      <c r="O463" s="34" t="str">
        <f aca="false">IF(L463&gt;$B$6,"",INDEX(Journal!$AC$7:$AC$506,MATCH(L463,Journal!$AI$7:$AI$506,0)))</f>
        <v/>
      </c>
      <c r="P463" s="35" t="str">
        <f aca="false">IF(L463&gt;$B$6,"",INDEX(Journal!$AD$7:$AD$506,MATCH(L463,Journal!$AI$7:$AI$506,0)))</f>
        <v/>
      </c>
      <c r="Q463" s="34" t="n">
        <f aca="false">IF(L463&gt;$B$6,Q462,Q462+O463)</f>
        <v>20000</v>
      </c>
      <c r="R463" s="34" t="str">
        <f aca="false">IF(L463&gt;$B$6,"",Q463-MAX($Q$5:Q463))</f>
        <v/>
      </c>
    </row>
    <row r="464" customFormat="false" ht="15" hidden="false" customHeight="false" outlineLevel="0" collapsed="false">
      <c r="L464" s="0" t="n">
        <v>459</v>
      </c>
      <c r="M464" s="37" t="str">
        <f aca="false">IF(L464&gt;$B$6,"",INDEX(Journal!$P$7:$P$506,MATCH(L464,Journal!$AI$7:$AI$506,0)))</f>
        <v/>
      </c>
      <c r="N464" s="0" t="str">
        <f aca="false">IF(L464&gt;$B$6,"",INDEX(Journal!$A$7:$A$506,MATCH(L464,Journal!$AI$7:$AI$506,0)))</f>
        <v/>
      </c>
      <c r="O464" s="34" t="str">
        <f aca="false">IF(L464&gt;$B$6,"",INDEX(Journal!$AC$7:$AC$506,MATCH(L464,Journal!$AI$7:$AI$506,0)))</f>
        <v/>
      </c>
      <c r="P464" s="35" t="str">
        <f aca="false">IF(L464&gt;$B$6,"",INDEX(Journal!$AD$7:$AD$506,MATCH(L464,Journal!$AI$7:$AI$506,0)))</f>
        <v/>
      </c>
      <c r="Q464" s="34" t="n">
        <f aca="false">IF(L464&gt;$B$6,Q463,Q463+O464)</f>
        <v>20000</v>
      </c>
      <c r="R464" s="34" t="str">
        <f aca="false">IF(L464&gt;$B$6,"",Q464-MAX($Q$5:Q464))</f>
        <v/>
      </c>
    </row>
    <row r="465" customFormat="false" ht="15" hidden="false" customHeight="false" outlineLevel="0" collapsed="false">
      <c r="L465" s="0" t="n">
        <v>460</v>
      </c>
      <c r="M465" s="37" t="str">
        <f aca="false">IF(L465&gt;$B$6,"",INDEX(Journal!$P$7:$P$506,MATCH(L465,Journal!$AI$7:$AI$506,0)))</f>
        <v/>
      </c>
      <c r="N465" s="0" t="str">
        <f aca="false">IF(L465&gt;$B$6,"",INDEX(Journal!$A$7:$A$506,MATCH(L465,Journal!$AI$7:$AI$506,0)))</f>
        <v/>
      </c>
      <c r="O465" s="34" t="str">
        <f aca="false">IF(L465&gt;$B$6,"",INDEX(Journal!$AC$7:$AC$506,MATCH(L465,Journal!$AI$7:$AI$506,0)))</f>
        <v/>
      </c>
      <c r="P465" s="35" t="str">
        <f aca="false">IF(L465&gt;$B$6,"",INDEX(Journal!$AD$7:$AD$506,MATCH(L465,Journal!$AI$7:$AI$506,0)))</f>
        <v/>
      </c>
      <c r="Q465" s="34" t="n">
        <f aca="false">IF(L465&gt;$B$6,Q464,Q464+O465)</f>
        <v>20000</v>
      </c>
      <c r="R465" s="34" t="str">
        <f aca="false">IF(L465&gt;$B$6,"",Q465-MAX($Q$5:Q465))</f>
        <v/>
      </c>
    </row>
    <row r="466" customFormat="false" ht="15" hidden="false" customHeight="false" outlineLevel="0" collapsed="false">
      <c r="L466" s="0" t="n">
        <v>461</v>
      </c>
      <c r="M466" s="37" t="str">
        <f aca="false">IF(L466&gt;$B$6,"",INDEX(Journal!$P$7:$P$506,MATCH(L466,Journal!$AI$7:$AI$506,0)))</f>
        <v/>
      </c>
      <c r="N466" s="0" t="str">
        <f aca="false">IF(L466&gt;$B$6,"",INDEX(Journal!$A$7:$A$506,MATCH(L466,Journal!$AI$7:$AI$506,0)))</f>
        <v/>
      </c>
      <c r="O466" s="34" t="str">
        <f aca="false">IF(L466&gt;$B$6,"",INDEX(Journal!$AC$7:$AC$506,MATCH(L466,Journal!$AI$7:$AI$506,0)))</f>
        <v/>
      </c>
      <c r="P466" s="35" t="str">
        <f aca="false">IF(L466&gt;$B$6,"",INDEX(Journal!$AD$7:$AD$506,MATCH(L466,Journal!$AI$7:$AI$506,0)))</f>
        <v/>
      </c>
      <c r="Q466" s="34" t="n">
        <f aca="false">IF(L466&gt;$B$6,Q465,Q465+O466)</f>
        <v>20000</v>
      </c>
      <c r="R466" s="34" t="str">
        <f aca="false">IF(L466&gt;$B$6,"",Q466-MAX($Q$5:Q466))</f>
        <v/>
      </c>
    </row>
    <row r="467" customFormat="false" ht="15" hidden="false" customHeight="false" outlineLevel="0" collapsed="false">
      <c r="L467" s="0" t="n">
        <v>462</v>
      </c>
      <c r="M467" s="37" t="str">
        <f aca="false">IF(L467&gt;$B$6,"",INDEX(Journal!$P$7:$P$506,MATCH(L467,Journal!$AI$7:$AI$506,0)))</f>
        <v/>
      </c>
      <c r="N467" s="0" t="str">
        <f aca="false">IF(L467&gt;$B$6,"",INDEX(Journal!$A$7:$A$506,MATCH(L467,Journal!$AI$7:$AI$506,0)))</f>
        <v/>
      </c>
      <c r="O467" s="34" t="str">
        <f aca="false">IF(L467&gt;$B$6,"",INDEX(Journal!$AC$7:$AC$506,MATCH(L467,Journal!$AI$7:$AI$506,0)))</f>
        <v/>
      </c>
      <c r="P467" s="35" t="str">
        <f aca="false">IF(L467&gt;$B$6,"",INDEX(Journal!$AD$7:$AD$506,MATCH(L467,Journal!$AI$7:$AI$506,0)))</f>
        <v/>
      </c>
      <c r="Q467" s="34" t="n">
        <f aca="false">IF(L467&gt;$B$6,Q466,Q466+O467)</f>
        <v>20000</v>
      </c>
      <c r="R467" s="34" t="str">
        <f aca="false">IF(L467&gt;$B$6,"",Q467-MAX($Q$5:Q467))</f>
        <v/>
      </c>
    </row>
    <row r="468" customFormat="false" ht="15" hidden="false" customHeight="false" outlineLevel="0" collapsed="false">
      <c r="L468" s="0" t="n">
        <v>463</v>
      </c>
      <c r="M468" s="37" t="str">
        <f aca="false">IF(L468&gt;$B$6,"",INDEX(Journal!$P$7:$P$506,MATCH(L468,Journal!$AI$7:$AI$506,0)))</f>
        <v/>
      </c>
      <c r="N468" s="0" t="str">
        <f aca="false">IF(L468&gt;$B$6,"",INDEX(Journal!$A$7:$A$506,MATCH(L468,Journal!$AI$7:$AI$506,0)))</f>
        <v/>
      </c>
      <c r="O468" s="34" t="str">
        <f aca="false">IF(L468&gt;$B$6,"",INDEX(Journal!$AC$7:$AC$506,MATCH(L468,Journal!$AI$7:$AI$506,0)))</f>
        <v/>
      </c>
      <c r="P468" s="35" t="str">
        <f aca="false">IF(L468&gt;$B$6,"",INDEX(Journal!$AD$7:$AD$506,MATCH(L468,Journal!$AI$7:$AI$506,0)))</f>
        <v/>
      </c>
      <c r="Q468" s="34" t="n">
        <f aca="false">IF(L468&gt;$B$6,Q467,Q467+O468)</f>
        <v>20000</v>
      </c>
      <c r="R468" s="34" t="str">
        <f aca="false">IF(L468&gt;$B$6,"",Q468-MAX($Q$5:Q468))</f>
        <v/>
      </c>
    </row>
    <row r="469" customFormat="false" ht="15" hidden="false" customHeight="false" outlineLevel="0" collapsed="false">
      <c r="L469" s="0" t="n">
        <v>464</v>
      </c>
      <c r="M469" s="37" t="str">
        <f aca="false">IF(L469&gt;$B$6,"",INDEX(Journal!$P$7:$P$506,MATCH(L469,Journal!$AI$7:$AI$506,0)))</f>
        <v/>
      </c>
      <c r="N469" s="0" t="str">
        <f aca="false">IF(L469&gt;$B$6,"",INDEX(Journal!$A$7:$A$506,MATCH(L469,Journal!$AI$7:$AI$506,0)))</f>
        <v/>
      </c>
      <c r="O469" s="34" t="str">
        <f aca="false">IF(L469&gt;$B$6,"",INDEX(Journal!$AC$7:$AC$506,MATCH(L469,Journal!$AI$7:$AI$506,0)))</f>
        <v/>
      </c>
      <c r="P469" s="35" t="str">
        <f aca="false">IF(L469&gt;$B$6,"",INDEX(Journal!$AD$7:$AD$506,MATCH(L469,Journal!$AI$7:$AI$506,0)))</f>
        <v/>
      </c>
      <c r="Q469" s="34" t="n">
        <f aca="false">IF(L469&gt;$B$6,Q468,Q468+O469)</f>
        <v>20000</v>
      </c>
      <c r="R469" s="34" t="str">
        <f aca="false">IF(L469&gt;$B$6,"",Q469-MAX($Q$5:Q469))</f>
        <v/>
      </c>
    </row>
    <row r="470" customFormat="false" ht="15" hidden="false" customHeight="false" outlineLevel="0" collapsed="false">
      <c r="L470" s="0" t="n">
        <v>465</v>
      </c>
      <c r="M470" s="37" t="str">
        <f aca="false">IF(L470&gt;$B$6,"",INDEX(Journal!$P$7:$P$506,MATCH(L470,Journal!$AI$7:$AI$506,0)))</f>
        <v/>
      </c>
      <c r="N470" s="0" t="str">
        <f aca="false">IF(L470&gt;$B$6,"",INDEX(Journal!$A$7:$A$506,MATCH(L470,Journal!$AI$7:$AI$506,0)))</f>
        <v/>
      </c>
      <c r="O470" s="34" t="str">
        <f aca="false">IF(L470&gt;$B$6,"",INDEX(Journal!$AC$7:$AC$506,MATCH(L470,Journal!$AI$7:$AI$506,0)))</f>
        <v/>
      </c>
      <c r="P470" s="35" t="str">
        <f aca="false">IF(L470&gt;$B$6,"",INDEX(Journal!$AD$7:$AD$506,MATCH(L470,Journal!$AI$7:$AI$506,0)))</f>
        <v/>
      </c>
      <c r="Q470" s="34" t="n">
        <f aca="false">IF(L470&gt;$B$6,Q469,Q469+O470)</f>
        <v>20000</v>
      </c>
      <c r="R470" s="34" t="str">
        <f aca="false">IF(L470&gt;$B$6,"",Q470-MAX($Q$5:Q470))</f>
        <v/>
      </c>
    </row>
    <row r="471" customFormat="false" ht="15" hidden="false" customHeight="false" outlineLevel="0" collapsed="false">
      <c r="L471" s="0" t="n">
        <v>466</v>
      </c>
      <c r="M471" s="37" t="str">
        <f aca="false">IF(L471&gt;$B$6,"",INDEX(Journal!$P$7:$P$506,MATCH(L471,Journal!$AI$7:$AI$506,0)))</f>
        <v/>
      </c>
      <c r="N471" s="0" t="str">
        <f aca="false">IF(L471&gt;$B$6,"",INDEX(Journal!$A$7:$A$506,MATCH(L471,Journal!$AI$7:$AI$506,0)))</f>
        <v/>
      </c>
      <c r="O471" s="34" t="str">
        <f aca="false">IF(L471&gt;$B$6,"",INDEX(Journal!$AC$7:$AC$506,MATCH(L471,Journal!$AI$7:$AI$506,0)))</f>
        <v/>
      </c>
      <c r="P471" s="35" t="str">
        <f aca="false">IF(L471&gt;$B$6,"",INDEX(Journal!$AD$7:$AD$506,MATCH(L471,Journal!$AI$7:$AI$506,0)))</f>
        <v/>
      </c>
      <c r="Q471" s="34" t="n">
        <f aca="false">IF(L471&gt;$B$6,Q470,Q470+O471)</f>
        <v>20000</v>
      </c>
      <c r="R471" s="34" t="str">
        <f aca="false">IF(L471&gt;$B$6,"",Q471-MAX($Q$5:Q471))</f>
        <v/>
      </c>
    </row>
    <row r="472" customFormat="false" ht="15" hidden="false" customHeight="false" outlineLevel="0" collapsed="false">
      <c r="L472" s="0" t="n">
        <v>467</v>
      </c>
      <c r="M472" s="37" t="str">
        <f aca="false">IF(L472&gt;$B$6,"",INDEX(Journal!$P$7:$P$506,MATCH(L472,Journal!$AI$7:$AI$506,0)))</f>
        <v/>
      </c>
      <c r="N472" s="0" t="str">
        <f aca="false">IF(L472&gt;$B$6,"",INDEX(Journal!$A$7:$A$506,MATCH(L472,Journal!$AI$7:$AI$506,0)))</f>
        <v/>
      </c>
      <c r="O472" s="34" t="str">
        <f aca="false">IF(L472&gt;$B$6,"",INDEX(Journal!$AC$7:$AC$506,MATCH(L472,Journal!$AI$7:$AI$506,0)))</f>
        <v/>
      </c>
      <c r="P472" s="35" t="str">
        <f aca="false">IF(L472&gt;$B$6,"",INDEX(Journal!$AD$7:$AD$506,MATCH(L472,Journal!$AI$7:$AI$506,0)))</f>
        <v/>
      </c>
      <c r="Q472" s="34" t="n">
        <f aca="false">IF(L472&gt;$B$6,Q471,Q471+O472)</f>
        <v>20000</v>
      </c>
      <c r="R472" s="34" t="str">
        <f aca="false">IF(L472&gt;$B$6,"",Q472-MAX($Q$5:Q472))</f>
        <v/>
      </c>
    </row>
    <row r="473" customFormat="false" ht="15" hidden="false" customHeight="false" outlineLevel="0" collapsed="false">
      <c r="L473" s="0" t="n">
        <v>468</v>
      </c>
      <c r="M473" s="37" t="str">
        <f aca="false">IF(L473&gt;$B$6,"",INDEX(Journal!$P$7:$P$506,MATCH(L473,Journal!$AI$7:$AI$506,0)))</f>
        <v/>
      </c>
      <c r="N473" s="0" t="str">
        <f aca="false">IF(L473&gt;$B$6,"",INDEX(Journal!$A$7:$A$506,MATCH(L473,Journal!$AI$7:$AI$506,0)))</f>
        <v/>
      </c>
      <c r="O473" s="34" t="str">
        <f aca="false">IF(L473&gt;$B$6,"",INDEX(Journal!$AC$7:$AC$506,MATCH(L473,Journal!$AI$7:$AI$506,0)))</f>
        <v/>
      </c>
      <c r="P473" s="35" t="str">
        <f aca="false">IF(L473&gt;$B$6,"",INDEX(Journal!$AD$7:$AD$506,MATCH(L473,Journal!$AI$7:$AI$506,0)))</f>
        <v/>
      </c>
      <c r="Q473" s="34" t="n">
        <f aca="false">IF(L473&gt;$B$6,Q472,Q472+O473)</f>
        <v>20000</v>
      </c>
      <c r="R473" s="34" t="str">
        <f aca="false">IF(L473&gt;$B$6,"",Q473-MAX($Q$5:Q473))</f>
        <v/>
      </c>
    </row>
    <row r="474" customFormat="false" ht="15" hidden="false" customHeight="false" outlineLevel="0" collapsed="false">
      <c r="L474" s="0" t="n">
        <v>469</v>
      </c>
      <c r="M474" s="37" t="str">
        <f aca="false">IF(L474&gt;$B$6,"",INDEX(Journal!$P$7:$P$506,MATCH(L474,Journal!$AI$7:$AI$506,0)))</f>
        <v/>
      </c>
      <c r="N474" s="0" t="str">
        <f aca="false">IF(L474&gt;$B$6,"",INDEX(Journal!$A$7:$A$506,MATCH(L474,Journal!$AI$7:$AI$506,0)))</f>
        <v/>
      </c>
      <c r="O474" s="34" t="str">
        <f aca="false">IF(L474&gt;$B$6,"",INDEX(Journal!$AC$7:$AC$506,MATCH(L474,Journal!$AI$7:$AI$506,0)))</f>
        <v/>
      </c>
      <c r="P474" s="35" t="str">
        <f aca="false">IF(L474&gt;$B$6,"",INDEX(Journal!$AD$7:$AD$506,MATCH(L474,Journal!$AI$7:$AI$506,0)))</f>
        <v/>
      </c>
      <c r="Q474" s="34" t="n">
        <f aca="false">IF(L474&gt;$B$6,Q473,Q473+O474)</f>
        <v>20000</v>
      </c>
      <c r="R474" s="34" t="str">
        <f aca="false">IF(L474&gt;$B$6,"",Q474-MAX($Q$5:Q474))</f>
        <v/>
      </c>
    </row>
    <row r="475" customFormat="false" ht="15" hidden="false" customHeight="false" outlineLevel="0" collapsed="false">
      <c r="L475" s="0" t="n">
        <v>470</v>
      </c>
      <c r="M475" s="37" t="str">
        <f aca="false">IF(L475&gt;$B$6,"",INDEX(Journal!$P$7:$P$506,MATCH(L475,Journal!$AI$7:$AI$506,0)))</f>
        <v/>
      </c>
      <c r="N475" s="0" t="str">
        <f aca="false">IF(L475&gt;$B$6,"",INDEX(Journal!$A$7:$A$506,MATCH(L475,Journal!$AI$7:$AI$506,0)))</f>
        <v/>
      </c>
      <c r="O475" s="34" t="str">
        <f aca="false">IF(L475&gt;$B$6,"",INDEX(Journal!$AC$7:$AC$506,MATCH(L475,Journal!$AI$7:$AI$506,0)))</f>
        <v/>
      </c>
      <c r="P475" s="35" t="str">
        <f aca="false">IF(L475&gt;$B$6,"",INDEX(Journal!$AD$7:$AD$506,MATCH(L475,Journal!$AI$7:$AI$506,0)))</f>
        <v/>
      </c>
      <c r="Q475" s="34" t="n">
        <f aca="false">IF(L475&gt;$B$6,Q474,Q474+O475)</f>
        <v>20000</v>
      </c>
      <c r="R475" s="34" t="str">
        <f aca="false">IF(L475&gt;$B$6,"",Q475-MAX($Q$5:Q475))</f>
        <v/>
      </c>
    </row>
    <row r="476" customFormat="false" ht="15" hidden="false" customHeight="false" outlineLevel="0" collapsed="false">
      <c r="L476" s="0" t="n">
        <v>471</v>
      </c>
      <c r="M476" s="37" t="str">
        <f aca="false">IF(L476&gt;$B$6,"",INDEX(Journal!$P$7:$P$506,MATCH(L476,Journal!$AI$7:$AI$506,0)))</f>
        <v/>
      </c>
      <c r="N476" s="0" t="str">
        <f aca="false">IF(L476&gt;$B$6,"",INDEX(Journal!$A$7:$A$506,MATCH(L476,Journal!$AI$7:$AI$506,0)))</f>
        <v/>
      </c>
      <c r="O476" s="34" t="str">
        <f aca="false">IF(L476&gt;$B$6,"",INDEX(Journal!$AC$7:$AC$506,MATCH(L476,Journal!$AI$7:$AI$506,0)))</f>
        <v/>
      </c>
      <c r="P476" s="35" t="str">
        <f aca="false">IF(L476&gt;$B$6,"",INDEX(Journal!$AD$7:$AD$506,MATCH(L476,Journal!$AI$7:$AI$506,0)))</f>
        <v/>
      </c>
      <c r="Q476" s="34" t="n">
        <f aca="false">IF(L476&gt;$B$6,Q475,Q475+O476)</f>
        <v>20000</v>
      </c>
      <c r="R476" s="34" t="str">
        <f aca="false">IF(L476&gt;$B$6,"",Q476-MAX($Q$5:Q476))</f>
        <v/>
      </c>
    </row>
    <row r="477" customFormat="false" ht="15" hidden="false" customHeight="false" outlineLevel="0" collapsed="false">
      <c r="L477" s="0" t="n">
        <v>472</v>
      </c>
      <c r="M477" s="37" t="str">
        <f aca="false">IF(L477&gt;$B$6,"",INDEX(Journal!$P$7:$P$506,MATCH(L477,Journal!$AI$7:$AI$506,0)))</f>
        <v/>
      </c>
      <c r="N477" s="0" t="str">
        <f aca="false">IF(L477&gt;$B$6,"",INDEX(Journal!$A$7:$A$506,MATCH(L477,Journal!$AI$7:$AI$506,0)))</f>
        <v/>
      </c>
      <c r="O477" s="34" t="str">
        <f aca="false">IF(L477&gt;$B$6,"",INDEX(Journal!$AC$7:$AC$506,MATCH(L477,Journal!$AI$7:$AI$506,0)))</f>
        <v/>
      </c>
      <c r="P477" s="35" t="str">
        <f aca="false">IF(L477&gt;$B$6,"",INDEX(Journal!$AD$7:$AD$506,MATCH(L477,Journal!$AI$7:$AI$506,0)))</f>
        <v/>
      </c>
      <c r="Q477" s="34" t="n">
        <f aca="false">IF(L477&gt;$B$6,Q476,Q476+O477)</f>
        <v>20000</v>
      </c>
      <c r="R477" s="34" t="str">
        <f aca="false">IF(L477&gt;$B$6,"",Q477-MAX($Q$5:Q477))</f>
        <v/>
      </c>
    </row>
    <row r="478" customFormat="false" ht="15" hidden="false" customHeight="false" outlineLevel="0" collapsed="false">
      <c r="L478" s="0" t="n">
        <v>473</v>
      </c>
      <c r="M478" s="37" t="str">
        <f aca="false">IF(L478&gt;$B$6,"",INDEX(Journal!$P$7:$P$506,MATCH(L478,Journal!$AI$7:$AI$506,0)))</f>
        <v/>
      </c>
      <c r="N478" s="0" t="str">
        <f aca="false">IF(L478&gt;$B$6,"",INDEX(Journal!$A$7:$A$506,MATCH(L478,Journal!$AI$7:$AI$506,0)))</f>
        <v/>
      </c>
      <c r="O478" s="34" t="str">
        <f aca="false">IF(L478&gt;$B$6,"",INDEX(Journal!$AC$7:$AC$506,MATCH(L478,Journal!$AI$7:$AI$506,0)))</f>
        <v/>
      </c>
      <c r="P478" s="35" t="str">
        <f aca="false">IF(L478&gt;$B$6,"",INDEX(Journal!$AD$7:$AD$506,MATCH(L478,Journal!$AI$7:$AI$506,0)))</f>
        <v/>
      </c>
      <c r="Q478" s="34" t="n">
        <f aca="false">IF(L478&gt;$B$6,Q477,Q477+O478)</f>
        <v>20000</v>
      </c>
      <c r="R478" s="34" t="str">
        <f aca="false">IF(L478&gt;$B$6,"",Q478-MAX($Q$5:Q478))</f>
        <v/>
      </c>
    </row>
    <row r="479" customFormat="false" ht="15" hidden="false" customHeight="false" outlineLevel="0" collapsed="false">
      <c r="L479" s="0" t="n">
        <v>474</v>
      </c>
      <c r="M479" s="37" t="str">
        <f aca="false">IF(L479&gt;$B$6,"",INDEX(Journal!$P$7:$P$506,MATCH(L479,Journal!$AI$7:$AI$506,0)))</f>
        <v/>
      </c>
      <c r="N479" s="0" t="str">
        <f aca="false">IF(L479&gt;$B$6,"",INDEX(Journal!$A$7:$A$506,MATCH(L479,Journal!$AI$7:$AI$506,0)))</f>
        <v/>
      </c>
      <c r="O479" s="34" t="str">
        <f aca="false">IF(L479&gt;$B$6,"",INDEX(Journal!$AC$7:$AC$506,MATCH(L479,Journal!$AI$7:$AI$506,0)))</f>
        <v/>
      </c>
      <c r="P479" s="35" t="str">
        <f aca="false">IF(L479&gt;$B$6,"",INDEX(Journal!$AD$7:$AD$506,MATCH(L479,Journal!$AI$7:$AI$506,0)))</f>
        <v/>
      </c>
      <c r="Q479" s="34" t="n">
        <f aca="false">IF(L479&gt;$B$6,Q478,Q478+O479)</f>
        <v>20000</v>
      </c>
      <c r="R479" s="34" t="str">
        <f aca="false">IF(L479&gt;$B$6,"",Q479-MAX($Q$5:Q479))</f>
        <v/>
      </c>
    </row>
    <row r="480" customFormat="false" ht="15" hidden="false" customHeight="false" outlineLevel="0" collapsed="false">
      <c r="L480" s="0" t="n">
        <v>475</v>
      </c>
      <c r="M480" s="37" t="str">
        <f aca="false">IF(L480&gt;$B$6,"",INDEX(Journal!$P$7:$P$506,MATCH(L480,Journal!$AI$7:$AI$506,0)))</f>
        <v/>
      </c>
      <c r="N480" s="0" t="str">
        <f aca="false">IF(L480&gt;$B$6,"",INDEX(Journal!$A$7:$A$506,MATCH(L480,Journal!$AI$7:$AI$506,0)))</f>
        <v/>
      </c>
      <c r="O480" s="34" t="str">
        <f aca="false">IF(L480&gt;$B$6,"",INDEX(Journal!$AC$7:$AC$506,MATCH(L480,Journal!$AI$7:$AI$506,0)))</f>
        <v/>
      </c>
      <c r="P480" s="35" t="str">
        <f aca="false">IF(L480&gt;$B$6,"",INDEX(Journal!$AD$7:$AD$506,MATCH(L480,Journal!$AI$7:$AI$506,0)))</f>
        <v/>
      </c>
      <c r="Q480" s="34" t="n">
        <f aca="false">IF(L480&gt;$B$6,Q479,Q479+O480)</f>
        <v>20000</v>
      </c>
      <c r="R480" s="34" t="str">
        <f aca="false">IF(L480&gt;$B$6,"",Q480-MAX($Q$5:Q480))</f>
        <v/>
      </c>
    </row>
    <row r="481" customFormat="false" ht="15" hidden="false" customHeight="false" outlineLevel="0" collapsed="false">
      <c r="L481" s="0" t="n">
        <v>476</v>
      </c>
      <c r="M481" s="37" t="str">
        <f aca="false">IF(L481&gt;$B$6,"",INDEX(Journal!$P$7:$P$506,MATCH(L481,Journal!$AI$7:$AI$506,0)))</f>
        <v/>
      </c>
      <c r="N481" s="0" t="str">
        <f aca="false">IF(L481&gt;$B$6,"",INDEX(Journal!$A$7:$A$506,MATCH(L481,Journal!$AI$7:$AI$506,0)))</f>
        <v/>
      </c>
      <c r="O481" s="34" t="str">
        <f aca="false">IF(L481&gt;$B$6,"",INDEX(Journal!$AC$7:$AC$506,MATCH(L481,Journal!$AI$7:$AI$506,0)))</f>
        <v/>
      </c>
      <c r="P481" s="35" t="str">
        <f aca="false">IF(L481&gt;$B$6,"",INDEX(Journal!$AD$7:$AD$506,MATCH(L481,Journal!$AI$7:$AI$506,0)))</f>
        <v/>
      </c>
      <c r="Q481" s="34" t="n">
        <f aca="false">IF(L481&gt;$B$6,Q480,Q480+O481)</f>
        <v>20000</v>
      </c>
      <c r="R481" s="34" t="str">
        <f aca="false">IF(L481&gt;$B$6,"",Q481-MAX($Q$5:Q481))</f>
        <v/>
      </c>
    </row>
    <row r="482" customFormat="false" ht="15" hidden="false" customHeight="false" outlineLevel="0" collapsed="false">
      <c r="L482" s="0" t="n">
        <v>477</v>
      </c>
      <c r="M482" s="37" t="str">
        <f aca="false">IF(L482&gt;$B$6,"",INDEX(Journal!$P$7:$P$506,MATCH(L482,Journal!$AI$7:$AI$506,0)))</f>
        <v/>
      </c>
      <c r="N482" s="0" t="str">
        <f aca="false">IF(L482&gt;$B$6,"",INDEX(Journal!$A$7:$A$506,MATCH(L482,Journal!$AI$7:$AI$506,0)))</f>
        <v/>
      </c>
      <c r="O482" s="34" t="str">
        <f aca="false">IF(L482&gt;$B$6,"",INDEX(Journal!$AC$7:$AC$506,MATCH(L482,Journal!$AI$7:$AI$506,0)))</f>
        <v/>
      </c>
      <c r="P482" s="35" t="str">
        <f aca="false">IF(L482&gt;$B$6,"",INDEX(Journal!$AD$7:$AD$506,MATCH(L482,Journal!$AI$7:$AI$506,0)))</f>
        <v/>
      </c>
      <c r="Q482" s="34" t="n">
        <f aca="false">IF(L482&gt;$B$6,Q481,Q481+O482)</f>
        <v>20000</v>
      </c>
      <c r="R482" s="34" t="str">
        <f aca="false">IF(L482&gt;$B$6,"",Q482-MAX($Q$5:Q482))</f>
        <v/>
      </c>
    </row>
    <row r="483" customFormat="false" ht="15" hidden="false" customHeight="false" outlineLevel="0" collapsed="false">
      <c r="L483" s="0" t="n">
        <v>478</v>
      </c>
      <c r="M483" s="37" t="str">
        <f aca="false">IF(L483&gt;$B$6,"",INDEX(Journal!$P$7:$P$506,MATCH(L483,Journal!$AI$7:$AI$506,0)))</f>
        <v/>
      </c>
      <c r="N483" s="0" t="str">
        <f aca="false">IF(L483&gt;$B$6,"",INDEX(Journal!$A$7:$A$506,MATCH(L483,Journal!$AI$7:$AI$506,0)))</f>
        <v/>
      </c>
      <c r="O483" s="34" t="str">
        <f aca="false">IF(L483&gt;$B$6,"",INDEX(Journal!$AC$7:$AC$506,MATCH(L483,Journal!$AI$7:$AI$506,0)))</f>
        <v/>
      </c>
      <c r="P483" s="35" t="str">
        <f aca="false">IF(L483&gt;$B$6,"",INDEX(Journal!$AD$7:$AD$506,MATCH(L483,Journal!$AI$7:$AI$506,0)))</f>
        <v/>
      </c>
      <c r="Q483" s="34" t="n">
        <f aca="false">IF(L483&gt;$B$6,Q482,Q482+O483)</f>
        <v>20000</v>
      </c>
      <c r="R483" s="34" t="str">
        <f aca="false">IF(L483&gt;$B$6,"",Q483-MAX($Q$5:Q483))</f>
        <v/>
      </c>
    </row>
    <row r="484" customFormat="false" ht="15" hidden="false" customHeight="false" outlineLevel="0" collapsed="false">
      <c r="L484" s="0" t="n">
        <v>479</v>
      </c>
      <c r="M484" s="37" t="str">
        <f aca="false">IF(L484&gt;$B$6,"",INDEX(Journal!$P$7:$P$506,MATCH(L484,Journal!$AI$7:$AI$506,0)))</f>
        <v/>
      </c>
      <c r="N484" s="0" t="str">
        <f aca="false">IF(L484&gt;$B$6,"",INDEX(Journal!$A$7:$A$506,MATCH(L484,Journal!$AI$7:$AI$506,0)))</f>
        <v/>
      </c>
      <c r="O484" s="34" t="str">
        <f aca="false">IF(L484&gt;$B$6,"",INDEX(Journal!$AC$7:$AC$506,MATCH(L484,Journal!$AI$7:$AI$506,0)))</f>
        <v/>
      </c>
      <c r="P484" s="35" t="str">
        <f aca="false">IF(L484&gt;$B$6,"",INDEX(Journal!$AD$7:$AD$506,MATCH(L484,Journal!$AI$7:$AI$506,0)))</f>
        <v/>
      </c>
      <c r="Q484" s="34" t="n">
        <f aca="false">IF(L484&gt;$B$6,Q483,Q483+O484)</f>
        <v>20000</v>
      </c>
      <c r="R484" s="34" t="str">
        <f aca="false">IF(L484&gt;$B$6,"",Q484-MAX($Q$5:Q484))</f>
        <v/>
      </c>
    </row>
    <row r="485" customFormat="false" ht="15" hidden="false" customHeight="false" outlineLevel="0" collapsed="false">
      <c r="L485" s="0" t="n">
        <v>480</v>
      </c>
      <c r="M485" s="37" t="str">
        <f aca="false">IF(L485&gt;$B$6,"",INDEX(Journal!$P$7:$P$506,MATCH(L485,Journal!$AI$7:$AI$506,0)))</f>
        <v/>
      </c>
      <c r="N485" s="0" t="str">
        <f aca="false">IF(L485&gt;$B$6,"",INDEX(Journal!$A$7:$A$506,MATCH(L485,Journal!$AI$7:$AI$506,0)))</f>
        <v/>
      </c>
      <c r="O485" s="34" t="str">
        <f aca="false">IF(L485&gt;$B$6,"",INDEX(Journal!$AC$7:$AC$506,MATCH(L485,Journal!$AI$7:$AI$506,0)))</f>
        <v/>
      </c>
      <c r="P485" s="35" t="str">
        <f aca="false">IF(L485&gt;$B$6,"",INDEX(Journal!$AD$7:$AD$506,MATCH(L485,Journal!$AI$7:$AI$506,0)))</f>
        <v/>
      </c>
      <c r="Q485" s="34" t="n">
        <f aca="false">IF(L485&gt;$B$6,Q484,Q484+O485)</f>
        <v>20000</v>
      </c>
      <c r="R485" s="34" t="str">
        <f aca="false">IF(L485&gt;$B$6,"",Q485-MAX($Q$5:Q485))</f>
        <v/>
      </c>
    </row>
    <row r="486" customFormat="false" ht="15" hidden="false" customHeight="false" outlineLevel="0" collapsed="false">
      <c r="L486" s="0" t="n">
        <v>481</v>
      </c>
      <c r="M486" s="37" t="str">
        <f aca="false">IF(L486&gt;$B$6,"",INDEX(Journal!$P$7:$P$506,MATCH(L486,Journal!$AI$7:$AI$506,0)))</f>
        <v/>
      </c>
      <c r="N486" s="0" t="str">
        <f aca="false">IF(L486&gt;$B$6,"",INDEX(Journal!$A$7:$A$506,MATCH(L486,Journal!$AI$7:$AI$506,0)))</f>
        <v/>
      </c>
      <c r="O486" s="34" t="str">
        <f aca="false">IF(L486&gt;$B$6,"",INDEX(Journal!$AC$7:$AC$506,MATCH(L486,Journal!$AI$7:$AI$506,0)))</f>
        <v/>
      </c>
      <c r="P486" s="35" t="str">
        <f aca="false">IF(L486&gt;$B$6,"",INDEX(Journal!$AD$7:$AD$506,MATCH(L486,Journal!$AI$7:$AI$506,0)))</f>
        <v/>
      </c>
      <c r="Q486" s="34" t="n">
        <f aca="false">IF(L486&gt;$B$6,Q485,Q485+O486)</f>
        <v>20000</v>
      </c>
      <c r="R486" s="34" t="str">
        <f aca="false">IF(L486&gt;$B$6,"",Q486-MAX($Q$5:Q486))</f>
        <v/>
      </c>
    </row>
    <row r="487" customFormat="false" ht="15" hidden="false" customHeight="false" outlineLevel="0" collapsed="false">
      <c r="L487" s="0" t="n">
        <v>482</v>
      </c>
      <c r="M487" s="37" t="str">
        <f aca="false">IF(L487&gt;$B$6,"",INDEX(Journal!$P$7:$P$506,MATCH(L487,Journal!$AI$7:$AI$506,0)))</f>
        <v/>
      </c>
      <c r="N487" s="0" t="str">
        <f aca="false">IF(L487&gt;$B$6,"",INDEX(Journal!$A$7:$A$506,MATCH(L487,Journal!$AI$7:$AI$506,0)))</f>
        <v/>
      </c>
      <c r="O487" s="34" t="str">
        <f aca="false">IF(L487&gt;$B$6,"",INDEX(Journal!$AC$7:$AC$506,MATCH(L487,Journal!$AI$7:$AI$506,0)))</f>
        <v/>
      </c>
      <c r="P487" s="35" t="str">
        <f aca="false">IF(L487&gt;$B$6,"",INDEX(Journal!$AD$7:$AD$506,MATCH(L487,Journal!$AI$7:$AI$506,0)))</f>
        <v/>
      </c>
      <c r="Q487" s="34" t="n">
        <f aca="false">IF(L487&gt;$B$6,Q486,Q486+O487)</f>
        <v>20000</v>
      </c>
      <c r="R487" s="34" t="str">
        <f aca="false">IF(L487&gt;$B$6,"",Q487-MAX($Q$5:Q487))</f>
        <v/>
      </c>
    </row>
    <row r="488" customFormat="false" ht="15" hidden="false" customHeight="false" outlineLevel="0" collapsed="false">
      <c r="L488" s="0" t="n">
        <v>483</v>
      </c>
      <c r="M488" s="37" t="str">
        <f aca="false">IF(L488&gt;$B$6,"",INDEX(Journal!$P$7:$P$506,MATCH(L488,Journal!$AI$7:$AI$506,0)))</f>
        <v/>
      </c>
      <c r="N488" s="0" t="str">
        <f aca="false">IF(L488&gt;$B$6,"",INDEX(Journal!$A$7:$A$506,MATCH(L488,Journal!$AI$7:$AI$506,0)))</f>
        <v/>
      </c>
      <c r="O488" s="34" t="str">
        <f aca="false">IF(L488&gt;$B$6,"",INDEX(Journal!$AC$7:$AC$506,MATCH(L488,Journal!$AI$7:$AI$506,0)))</f>
        <v/>
      </c>
      <c r="P488" s="35" t="str">
        <f aca="false">IF(L488&gt;$B$6,"",INDEX(Journal!$AD$7:$AD$506,MATCH(L488,Journal!$AI$7:$AI$506,0)))</f>
        <v/>
      </c>
      <c r="Q488" s="34" t="n">
        <f aca="false">IF(L488&gt;$B$6,Q487,Q487+O488)</f>
        <v>20000</v>
      </c>
      <c r="R488" s="34" t="str">
        <f aca="false">IF(L488&gt;$B$6,"",Q488-MAX($Q$5:Q488))</f>
        <v/>
      </c>
    </row>
    <row r="489" customFormat="false" ht="15" hidden="false" customHeight="false" outlineLevel="0" collapsed="false">
      <c r="L489" s="0" t="n">
        <v>484</v>
      </c>
      <c r="M489" s="37" t="str">
        <f aca="false">IF(L489&gt;$B$6,"",INDEX(Journal!$P$7:$P$506,MATCH(L489,Journal!$AI$7:$AI$506,0)))</f>
        <v/>
      </c>
      <c r="N489" s="0" t="str">
        <f aca="false">IF(L489&gt;$B$6,"",INDEX(Journal!$A$7:$A$506,MATCH(L489,Journal!$AI$7:$AI$506,0)))</f>
        <v/>
      </c>
      <c r="O489" s="34" t="str">
        <f aca="false">IF(L489&gt;$B$6,"",INDEX(Journal!$AC$7:$AC$506,MATCH(L489,Journal!$AI$7:$AI$506,0)))</f>
        <v/>
      </c>
      <c r="P489" s="35" t="str">
        <f aca="false">IF(L489&gt;$B$6,"",INDEX(Journal!$AD$7:$AD$506,MATCH(L489,Journal!$AI$7:$AI$506,0)))</f>
        <v/>
      </c>
      <c r="Q489" s="34" t="n">
        <f aca="false">IF(L489&gt;$B$6,Q488,Q488+O489)</f>
        <v>20000</v>
      </c>
      <c r="R489" s="34" t="str">
        <f aca="false">IF(L489&gt;$B$6,"",Q489-MAX($Q$5:Q489))</f>
        <v/>
      </c>
    </row>
    <row r="490" customFormat="false" ht="15" hidden="false" customHeight="false" outlineLevel="0" collapsed="false">
      <c r="L490" s="0" t="n">
        <v>485</v>
      </c>
      <c r="M490" s="37" t="str">
        <f aca="false">IF(L490&gt;$B$6,"",INDEX(Journal!$P$7:$P$506,MATCH(L490,Journal!$AI$7:$AI$506,0)))</f>
        <v/>
      </c>
      <c r="N490" s="0" t="str">
        <f aca="false">IF(L490&gt;$B$6,"",INDEX(Journal!$A$7:$A$506,MATCH(L490,Journal!$AI$7:$AI$506,0)))</f>
        <v/>
      </c>
      <c r="O490" s="34" t="str">
        <f aca="false">IF(L490&gt;$B$6,"",INDEX(Journal!$AC$7:$AC$506,MATCH(L490,Journal!$AI$7:$AI$506,0)))</f>
        <v/>
      </c>
      <c r="P490" s="35" t="str">
        <f aca="false">IF(L490&gt;$B$6,"",INDEX(Journal!$AD$7:$AD$506,MATCH(L490,Journal!$AI$7:$AI$506,0)))</f>
        <v/>
      </c>
      <c r="Q490" s="34" t="n">
        <f aca="false">IF(L490&gt;$B$6,Q489,Q489+O490)</f>
        <v>20000</v>
      </c>
      <c r="R490" s="34" t="str">
        <f aca="false">IF(L490&gt;$B$6,"",Q490-MAX($Q$5:Q490))</f>
        <v/>
      </c>
    </row>
    <row r="491" customFormat="false" ht="15" hidden="false" customHeight="false" outlineLevel="0" collapsed="false">
      <c r="L491" s="0" t="n">
        <v>486</v>
      </c>
      <c r="M491" s="37" t="str">
        <f aca="false">IF(L491&gt;$B$6,"",INDEX(Journal!$P$7:$P$506,MATCH(L491,Journal!$AI$7:$AI$506,0)))</f>
        <v/>
      </c>
      <c r="N491" s="0" t="str">
        <f aca="false">IF(L491&gt;$B$6,"",INDEX(Journal!$A$7:$A$506,MATCH(L491,Journal!$AI$7:$AI$506,0)))</f>
        <v/>
      </c>
      <c r="O491" s="34" t="str">
        <f aca="false">IF(L491&gt;$B$6,"",INDEX(Journal!$AC$7:$AC$506,MATCH(L491,Journal!$AI$7:$AI$506,0)))</f>
        <v/>
      </c>
      <c r="P491" s="35" t="str">
        <f aca="false">IF(L491&gt;$B$6,"",INDEX(Journal!$AD$7:$AD$506,MATCH(L491,Journal!$AI$7:$AI$506,0)))</f>
        <v/>
      </c>
      <c r="Q491" s="34" t="n">
        <f aca="false">IF(L491&gt;$B$6,Q490,Q490+O491)</f>
        <v>20000</v>
      </c>
      <c r="R491" s="34" t="str">
        <f aca="false">IF(L491&gt;$B$6,"",Q491-MAX($Q$5:Q491))</f>
        <v/>
      </c>
    </row>
    <row r="492" customFormat="false" ht="15" hidden="false" customHeight="false" outlineLevel="0" collapsed="false">
      <c r="L492" s="0" t="n">
        <v>487</v>
      </c>
      <c r="M492" s="37" t="str">
        <f aca="false">IF(L492&gt;$B$6,"",INDEX(Journal!$P$7:$P$506,MATCH(L492,Journal!$AI$7:$AI$506,0)))</f>
        <v/>
      </c>
      <c r="N492" s="0" t="str">
        <f aca="false">IF(L492&gt;$B$6,"",INDEX(Journal!$A$7:$A$506,MATCH(L492,Journal!$AI$7:$AI$506,0)))</f>
        <v/>
      </c>
      <c r="O492" s="34" t="str">
        <f aca="false">IF(L492&gt;$B$6,"",INDEX(Journal!$AC$7:$AC$506,MATCH(L492,Journal!$AI$7:$AI$506,0)))</f>
        <v/>
      </c>
      <c r="P492" s="35" t="str">
        <f aca="false">IF(L492&gt;$B$6,"",INDEX(Journal!$AD$7:$AD$506,MATCH(L492,Journal!$AI$7:$AI$506,0)))</f>
        <v/>
      </c>
      <c r="Q492" s="34" t="n">
        <f aca="false">IF(L492&gt;$B$6,Q491,Q491+O492)</f>
        <v>20000</v>
      </c>
      <c r="R492" s="34" t="str">
        <f aca="false">IF(L492&gt;$B$6,"",Q492-MAX($Q$5:Q492))</f>
        <v/>
      </c>
    </row>
    <row r="493" customFormat="false" ht="15" hidden="false" customHeight="false" outlineLevel="0" collapsed="false">
      <c r="L493" s="0" t="n">
        <v>488</v>
      </c>
      <c r="M493" s="37" t="str">
        <f aca="false">IF(L493&gt;$B$6,"",INDEX(Journal!$P$7:$P$506,MATCH(L493,Journal!$AI$7:$AI$506,0)))</f>
        <v/>
      </c>
      <c r="N493" s="0" t="str">
        <f aca="false">IF(L493&gt;$B$6,"",INDEX(Journal!$A$7:$A$506,MATCH(L493,Journal!$AI$7:$AI$506,0)))</f>
        <v/>
      </c>
      <c r="O493" s="34" t="str">
        <f aca="false">IF(L493&gt;$B$6,"",INDEX(Journal!$AC$7:$AC$506,MATCH(L493,Journal!$AI$7:$AI$506,0)))</f>
        <v/>
      </c>
      <c r="P493" s="35" t="str">
        <f aca="false">IF(L493&gt;$B$6,"",INDEX(Journal!$AD$7:$AD$506,MATCH(L493,Journal!$AI$7:$AI$506,0)))</f>
        <v/>
      </c>
      <c r="Q493" s="34" t="n">
        <f aca="false">IF(L493&gt;$B$6,Q492,Q492+O493)</f>
        <v>20000</v>
      </c>
      <c r="R493" s="34" t="str">
        <f aca="false">IF(L493&gt;$B$6,"",Q493-MAX($Q$5:Q493))</f>
        <v/>
      </c>
    </row>
    <row r="494" customFormat="false" ht="15" hidden="false" customHeight="false" outlineLevel="0" collapsed="false">
      <c r="L494" s="0" t="n">
        <v>489</v>
      </c>
      <c r="M494" s="37" t="str">
        <f aca="false">IF(L494&gt;$B$6,"",INDEX(Journal!$P$7:$P$506,MATCH(L494,Journal!$AI$7:$AI$506,0)))</f>
        <v/>
      </c>
      <c r="N494" s="0" t="str">
        <f aca="false">IF(L494&gt;$B$6,"",INDEX(Journal!$A$7:$A$506,MATCH(L494,Journal!$AI$7:$AI$506,0)))</f>
        <v/>
      </c>
      <c r="O494" s="34" t="str">
        <f aca="false">IF(L494&gt;$B$6,"",INDEX(Journal!$AC$7:$AC$506,MATCH(L494,Journal!$AI$7:$AI$506,0)))</f>
        <v/>
      </c>
      <c r="P494" s="35" t="str">
        <f aca="false">IF(L494&gt;$B$6,"",INDEX(Journal!$AD$7:$AD$506,MATCH(L494,Journal!$AI$7:$AI$506,0)))</f>
        <v/>
      </c>
      <c r="Q494" s="34" t="n">
        <f aca="false">IF(L494&gt;$B$6,Q493,Q493+O494)</f>
        <v>20000</v>
      </c>
      <c r="R494" s="34" t="str">
        <f aca="false">IF(L494&gt;$B$6,"",Q494-MAX($Q$5:Q494))</f>
        <v/>
      </c>
    </row>
    <row r="495" customFormat="false" ht="15" hidden="false" customHeight="false" outlineLevel="0" collapsed="false">
      <c r="L495" s="0" t="n">
        <v>490</v>
      </c>
      <c r="M495" s="37" t="str">
        <f aca="false">IF(L495&gt;$B$6,"",INDEX(Journal!$P$7:$P$506,MATCH(L495,Journal!$AI$7:$AI$506,0)))</f>
        <v/>
      </c>
      <c r="N495" s="0" t="str">
        <f aca="false">IF(L495&gt;$B$6,"",INDEX(Journal!$A$7:$A$506,MATCH(L495,Journal!$AI$7:$AI$506,0)))</f>
        <v/>
      </c>
      <c r="O495" s="34" t="str">
        <f aca="false">IF(L495&gt;$B$6,"",INDEX(Journal!$AC$7:$AC$506,MATCH(L495,Journal!$AI$7:$AI$506,0)))</f>
        <v/>
      </c>
      <c r="P495" s="35" t="str">
        <f aca="false">IF(L495&gt;$B$6,"",INDEX(Journal!$AD$7:$AD$506,MATCH(L495,Journal!$AI$7:$AI$506,0)))</f>
        <v/>
      </c>
      <c r="Q495" s="34" t="n">
        <f aca="false">IF(L495&gt;$B$6,Q494,Q494+O495)</f>
        <v>20000</v>
      </c>
      <c r="R495" s="34" t="str">
        <f aca="false">IF(L495&gt;$B$6,"",Q495-MAX($Q$5:Q495))</f>
        <v/>
      </c>
    </row>
    <row r="496" customFormat="false" ht="15" hidden="false" customHeight="false" outlineLevel="0" collapsed="false">
      <c r="L496" s="0" t="n">
        <v>491</v>
      </c>
      <c r="M496" s="37" t="str">
        <f aca="false">IF(L496&gt;$B$6,"",INDEX(Journal!$P$7:$P$506,MATCH(L496,Journal!$AI$7:$AI$506,0)))</f>
        <v/>
      </c>
      <c r="N496" s="0" t="str">
        <f aca="false">IF(L496&gt;$B$6,"",INDEX(Journal!$A$7:$A$506,MATCH(L496,Journal!$AI$7:$AI$506,0)))</f>
        <v/>
      </c>
      <c r="O496" s="34" t="str">
        <f aca="false">IF(L496&gt;$B$6,"",INDEX(Journal!$AC$7:$AC$506,MATCH(L496,Journal!$AI$7:$AI$506,0)))</f>
        <v/>
      </c>
      <c r="P496" s="35" t="str">
        <f aca="false">IF(L496&gt;$B$6,"",INDEX(Journal!$AD$7:$AD$506,MATCH(L496,Journal!$AI$7:$AI$506,0)))</f>
        <v/>
      </c>
      <c r="Q496" s="34" t="n">
        <f aca="false">IF(L496&gt;$B$6,Q495,Q495+O496)</f>
        <v>20000</v>
      </c>
      <c r="R496" s="34" t="str">
        <f aca="false">IF(L496&gt;$B$6,"",Q496-MAX($Q$5:Q496))</f>
        <v/>
      </c>
    </row>
    <row r="497" customFormat="false" ht="15" hidden="false" customHeight="false" outlineLevel="0" collapsed="false">
      <c r="L497" s="0" t="n">
        <v>492</v>
      </c>
      <c r="M497" s="37" t="str">
        <f aca="false">IF(L497&gt;$B$6,"",INDEX(Journal!$P$7:$P$506,MATCH(L497,Journal!$AI$7:$AI$506,0)))</f>
        <v/>
      </c>
      <c r="N497" s="0" t="str">
        <f aca="false">IF(L497&gt;$B$6,"",INDEX(Journal!$A$7:$A$506,MATCH(L497,Journal!$AI$7:$AI$506,0)))</f>
        <v/>
      </c>
      <c r="O497" s="34" t="str">
        <f aca="false">IF(L497&gt;$B$6,"",INDEX(Journal!$AC$7:$AC$506,MATCH(L497,Journal!$AI$7:$AI$506,0)))</f>
        <v/>
      </c>
      <c r="P497" s="35" t="str">
        <f aca="false">IF(L497&gt;$B$6,"",INDEX(Journal!$AD$7:$AD$506,MATCH(L497,Journal!$AI$7:$AI$506,0)))</f>
        <v/>
      </c>
      <c r="Q497" s="34" t="n">
        <f aca="false">IF(L497&gt;$B$6,Q496,Q496+O497)</f>
        <v>20000</v>
      </c>
      <c r="R497" s="34" t="str">
        <f aca="false">IF(L497&gt;$B$6,"",Q497-MAX($Q$5:Q497))</f>
        <v/>
      </c>
    </row>
    <row r="498" customFormat="false" ht="15" hidden="false" customHeight="false" outlineLevel="0" collapsed="false">
      <c r="L498" s="0" t="n">
        <v>493</v>
      </c>
      <c r="M498" s="37" t="str">
        <f aca="false">IF(L498&gt;$B$6,"",INDEX(Journal!$P$7:$P$506,MATCH(L498,Journal!$AI$7:$AI$506,0)))</f>
        <v/>
      </c>
      <c r="N498" s="0" t="str">
        <f aca="false">IF(L498&gt;$B$6,"",INDEX(Journal!$A$7:$A$506,MATCH(L498,Journal!$AI$7:$AI$506,0)))</f>
        <v/>
      </c>
      <c r="O498" s="34" t="str">
        <f aca="false">IF(L498&gt;$B$6,"",INDEX(Journal!$AC$7:$AC$506,MATCH(L498,Journal!$AI$7:$AI$506,0)))</f>
        <v/>
      </c>
      <c r="P498" s="35" t="str">
        <f aca="false">IF(L498&gt;$B$6,"",INDEX(Journal!$AD$7:$AD$506,MATCH(L498,Journal!$AI$7:$AI$506,0)))</f>
        <v/>
      </c>
      <c r="Q498" s="34" t="n">
        <f aca="false">IF(L498&gt;$B$6,Q497,Q497+O498)</f>
        <v>20000</v>
      </c>
      <c r="R498" s="34" t="str">
        <f aca="false">IF(L498&gt;$B$6,"",Q498-MAX($Q$5:Q498))</f>
        <v/>
      </c>
    </row>
    <row r="499" customFormat="false" ht="15" hidden="false" customHeight="false" outlineLevel="0" collapsed="false">
      <c r="L499" s="0" t="n">
        <v>494</v>
      </c>
      <c r="M499" s="37" t="str">
        <f aca="false">IF(L499&gt;$B$6,"",INDEX(Journal!$P$7:$P$506,MATCH(L499,Journal!$AI$7:$AI$506,0)))</f>
        <v/>
      </c>
      <c r="N499" s="0" t="str">
        <f aca="false">IF(L499&gt;$B$6,"",INDEX(Journal!$A$7:$A$506,MATCH(L499,Journal!$AI$7:$AI$506,0)))</f>
        <v/>
      </c>
      <c r="O499" s="34" t="str">
        <f aca="false">IF(L499&gt;$B$6,"",INDEX(Journal!$AC$7:$AC$506,MATCH(L499,Journal!$AI$7:$AI$506,0)))</f>
        <v/>
      </c>
      <c r="P499" s="35" t="str">
        <f aca="false">IF(L499&gt;$B$6,"",INDEX(Journal!$AD$7:$AD$506,MATCH(L499,Journal!$AI$7:$AI$506,0)))</f>
        <v/>
      </c>
      <c r="Q499" s="34" t="n">
        <f aca="false">IF(L499&gt;$B$6,Q498,Q498+O499)</f>
        <v>20000</v>
      </c>
      <c r="R499" s="34" t="str">
        <f aca="false">IF(L499&gt;$B$6,"",Q499-MAX($Q$5:Q499))</f>
        <v/>
      </c>
    </row>
    <row r="500" customFormat="false" ht="15" hidden="false" customHeight="false" outlineLevel="0" collapsed="false">
      <c r="L500" s="0" t="n">
        <v>495</v>
      </c>
      <c r="M500" s="37" t="str">
        <f aca="false">IF(L500&gt;$B$6,"",INDEX(Journal!$P$7:$P$506,MATCH(L500,Journal!$AI$7:$AI$506,0)))</f>
        <v/>
      </c>
      <c r="N500" s="0" t="str">
        <f aca="false">IF(L500&gt;$B$6,"",INDEX(Journal!$A$7:$A$506,MATCH(L500,Journal!$AI$7:$AI$506,0)))</f>
        <v/>
      </c>
      <c r="O500" s="34" t="str">
        <f aca="false">IF(L500&gt;$B$6,"",INDEX(Journal!$AC$7:$AC$506,MATCH(L500,Journal!$AI$7:$AI$506,0)))</f>
        <v/>
      </c>
      <c r="P500" s="35" t="str">
        <f aca="false">IF(L500&gt;$B$6,"",INDEX(Journal!$AD$7:$AD$506,MATCH(L500,Journal!$AI$7:$AI$506,0)))</f>
        <v/>
      </c>
      <c r="Q500" s="34" t="n">
        <f aca="false">IF(L500&gt;$B$6,Q499,Q499+O500)</f>
        <v>20000</v>
      </c>
      <c r="R500" s="34" t="str">
        <f aca="false">IF(L500&gt;$B$6,"",Q500-MAX($Q$5:Q500))</f>
        <v/>
      </c>
    </row>
    <row r="501" customFormat="false" ht="15" hidden="false" customHeight="false" outlineLevel="0" collapsed="false">
      <c r="L501" s="0" t="n">
        <v>496</v>
      </c>
      <c r="M501" s="37" t="str">
        <f aca="false">IF(L501&gt;$B$6,"",INDEX(Journal!$P$7:$P$506,MATCH(L501,Journal!$AI$7:$AI$506,0)))</f>
        <v/>
      </c>
      <c r="N501" s="0" t="str">
        <f aca="false">IF(L501&gt;$B$6,"",INDEX(Journal!$A$7:$A$506,MATCH(L501,Journal!$AI$7:$AI$506,0)))</f>
        <v/>
      </c>
      <c r="O501" s="34" t="str">
        <f aca="false">IF(L501&gt;$B$6,"",INDEX(Journal!$AC$7:$AC$506,MATCH(L501,Journal!$AI$7:$AI$506,0)))</f>
        <v/>
      </c>
      <c r="P501" s="35" t="str">
        <f aca="false">IF(L501&gt;$B$6,"",INDEX(Journal!$AD$7:$AD$506,MATCH(L501,Journal!$AI$7:$AI$506,0)))</f>
        <v/>
      </c>
      <c r="Q501" s="34" t="n">
        <f aca="false">IF(L501&gt;$B$6,Q500,Q500+O501)</f>
        <v>20000</v>
      </c>
      <c r="R501" s="34" t="str">
        <f aca="false">IF(L501&gt;$B$6,"",Q501-MAX($Q$5:Q501))</f>
        <v/>
      </c>
    </row>
    <row r="502" customFormat="false" ht="15" hidden="false" customHeight="false" outlineLevel="0" collapsed="false">
      <c r="L502" s="0" t="n">
        <v>497</v>
      </c>
      <c r="M502" s="37" t="str">
        <f aca="false">IF(L502&gt;$B$6,"",INDEX(Journal!$P$7:$P$506,MATCH(L502,Journal!$AI$7:$AI$506,0)))</f>
        <v/>
      </c>
      <c r="N502" s="0" t="str">
        <f aca="false">IF(L502&gt;$B$6,"",INDEX(Journal!$A$7:$A$506,MATCH(L502,Journal!$AI$7:$AI$506,0)))</f>
        <v/>
      </c>
      <c r="O502" s="34" t="str">
        <f aca="false">IF(L502&gt;$B$6,"",INDEX(Journal!$AC$7:$AC$506,MATCH(L502,Journal!$AI$7:$AI$506,0)))</f>
        <v/>
      </c>
      <c r="P502" s="35" t="str">
        <f aca="false">IF(L502&gt;$B$6,"",INDEX(Journal!$AD$7:$AD$506,MATCH(L502,Journal!$AI$7:$AI$506,0)))</f>
        <v/>
      </c>
      <c r="Q502" s="34" t="n">
        <f aca="false">IF(L502&gt;$B$6,Q501,Q501+O502)</f>
        <v>20000</v>
      </c>
      <c r="R502" s="34" t="str">
        <f aca="false">IF(L502&gt;$B$6,"",Q502-MAX($Q$5:Q502))</f>
        <v/>
      </c>
    </row>
    <row r="503" customFormat="false" ht="15" hidden="false" customHeight="false" outlineLevel="0" collapsed="false">
      <c r="L503" s="0" t="n">
        <v>498</v>
      </c>
      <c r="M503" s="37" t="str">
        <f aca="false">IF(L503&gt;$B$6,"",INDEX(Journal!$P$7:$P$506,MATCH(L503,Journal!$AI$7:$AI$506,0)))</f>
        <v/>
      </c>
      <c r="N503" s="0" t="str">
        <f aca="false">IF(L503&gt;$B$6,"",INDEX(Journal!$A$7:$A$506,MATCH(L503,Journal!$AI$7:$AI$506,0)))</f>
        <v/>
      </c>
      <c r="O503" s="34" t="str">
        <f aca="false">IF(L503&gt;$B$6,"",INDEX(Journal!$AC$7:$AC$506,MATCH(L503,Journal!$AI$7:$AI$506,0)))</f>
        <v/>
      </c>
      <c r="P503" s="35" t="str">
        <f aca="false">IF(L503&gt;$B$6,"",INDEX(Journal!$AD$7:$AD$506,MATCH(L503,Journal!$AI$7:$AI$506,0)))</f>
        <v/>
      </c>
      <c r="Q503" s="34" t="n">
        <f aca="false">IF(L503&gt;$B$6,Q502,Q502+O503)</f>
        <v>20000</v>
      </c>
      <c r="R503" s="34" t="str">
        <f aca="false">IF(L503&gt;$B$6,"",Q503-MAX($Q$5:Q503))</f>
        <v/>
      </c>
    </row>
    <row r="504" customFormat="false" ht="15" hidden="false" customHeight="false" outlineLevel="0" collapsed="false">
      <c r="L504" s="0" t="n">
        <v>499</v>
      </c>
      <c r="M504" s="37" t="str">
        <f aca="false">IF(L504&gt;$B$6,"",INDEX(Journal!$P$7:$P$506,MATCH(L504,Journal!$AI$7:$AI$506,0)))</f>
        <v/>
      </c>
      <c r="N504" s="0" t="str">
        <f aca="false">IF(L504&gt;$B$6,"",INDEX(Journal!$A$7:$A$506,MATCH(L504,Journal!$AI$7:$AI$506,0)))</f>
        <v/>
      </c>
      <c r="O504" s="34" t="str">
        <f aca="false">IF(L504&gt;$B$6,"",INDEX(Journal!$AC$7:$AC$506,MATCH(L504,Journal!$AI$7:$AI$506,0)))</f>
        <v/>
      </c>
      <c r="P504" s="35" t="str">
        <f aca="false">IF(L504&gt;$B$6,"",INDEX(Journal!$AD$7:$AD$506,MATCH(L504,Journal!$AI$7:$AI$506,0)))</f>
        <v/>
      </c>
      <c r="Q504" s="34" t="n">
        <f aca="false">IF(L504&gt;$B$6,Q503,Q503+O504)</f>
        <v>20000</v>
      </c>
      <c r="R504" s="34" t="str">
        <f aca="false">IF(L504&gt;$B$6,"",Q504-MAX($Q$5:Q504))</f>
        <v/>
      </c>
    </row>
    <row r="505" customFormat="false" ht="15" hidden="false" customHeight="false" outlineLevel="0" collapsed="false">
      <c r="L505" s="0" t="n">
        <v>500</v>
      </c>
      <c r="M505" s="37" t="str">
        <f aca="false">IF(L505&gt;$B$6,"",INDEX(Journal!$P$7:$P$506,MATCH(L505,Journal!$AI$7:$AI$506,0)))</f>
        <v/>
      </c>
      <c r="N505" s="0" t="str">
        <f aca="false">IF(L505&gt;$B$6,"",INDEX(Journal!$A$7:$A$506,MATCH(L505,Journal!$AI$7:$AI$506,0)))</f>
        <v/>
      </c>
      <c r="O505" s="34" t="str">
        <f aca="false">IF(L505&gt;$B$6,"",INDEX(Journal!$AC$7:$AC$506,MATCH(L505,Journal!$AI$7:$AI$506,0)))</f>
        <v/>
      </c>
      <c r="P505" s="35" t="str">
        <f aca="false">IF(L505&gt;$B$6,"",INDEX(Journal!$AD$7:$AD$506,MATCH(L505,Journal!$AI$7:$AI$506,0)))</f>
        <v/>
      </c>
      <c r="Q505" s="34" t="n">
        <f aca="false">IF(L505&gt;$B$6,Q504,Q504+O505)</f>
        <v>20000</v>
      </c>
      <c r="R505" s="34" t="str">
        <f aca="false">IF(L505&gt;$B$6,"",Q505-MAX($Q$5:Q505))</f>
        <v/>
      </c>
    </row>
  </sheetData>
  <conditionalFormatting sqref="B39">
    <cfRule type="cellIs" priority="2" operator="equal" aboveAverage="0" equalAverage="0" bottom="0" percent="0" rank="0" text="" dxfId="0">
      <formula>"Over limit"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847C1"/>
    <pageSetUpPr fitToPage="false"/>
  </sheetPr>
  <dimension ref="A1:AI5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9"/>
    <col collapsed="false" customWidth="true" hidden="false" outlineLevel="0" max="3" min="3" style="0" width="17"/>
    <col collapsed="false" customWidth="true" hidden="false" outlineLevel="0" max="4" min="4" style="0" width="13"/>
    <col collapsed="false" customWidth="true" hidden="false" outlineLevel="0" max="6" min="5" style="0" width="12"/>
    <col collapsed="false" customWidth="true" hidden="false" outlineLevel="0" max="7" min="7" style="0" width="8"/>
    <col collapsed="false" customWidth="true" hidden="false" outlineLevel="0" max="10" min="8" style="0" width="10"/>
    <col collapsed="false" customWidth="true" hidden="false" outlineLevel="0" max="11" min="11" style="0" width="11"/>
    <col collapsed="false" customWidth="true" hidden="false" outlineLevel="0" max="12" min="12" style="0" width="9"/>
    <col collapsed="false" customWidth="true" hidden="false" outlineLevel="0" max="13" min="13" style="0" width="10"/>
    <col collapsed="false" customWidth="true" hidden="false" outlineLevel="0" max="14" min="14" style="0" width="9"/>
    <col collapsed="false" customWidth="true" hidden="false" outlineLevel="0" max="15" min="15" style="0" width="10"/>
    <col collapsed="false" customWidth="true" hidden="false" outlineLevel="0" max="16" min="16" style="0" width="12"/>
    <col collapsed="false" customWidth="true" hidden="false" outlineLevel="0" max="17" min="17" style="0" width="10"/>
    <col collapsed="false" customWidth="true" hidden="false" outlineLevel="0" max="18" min="18" style="0" width="9"/>
    <col collapsed="false" customWidth="true" hidden="false" outlineLevel="0" max="20" min="19" style="0" width="10"/>
    <col collapsed="false" customWidth="true" hidden="false" outlineLevel="0" max="21" min="21" style="0" width="12"/>
    <col collapsed="false" customWidth="true" hidden="false" outlineLevel="0" max="22" min="22" style="0" width="9"/>
    <col collapsed="false" customWidth="true" hidden="false" outlineLevel="0" max="25" min="23" style="0" width="10"/>
    <col collapsed="false" customWidth="true" hidden="false" outlineLevel="0" max="26" min="26" style="0" width="11"/>
    <col collapsed="false" customWidth="true" hidden="false" outlineLevel="0" max="28" min="27" style="0" width="10"/>
    <col collapsed="false" customWidth="true" hidden="false" outlineLevel="0" max="29" min="29" style="0" width="12"/>
    <col collapsed="false" customWidth="true" hidden="false" outlineLevel="0" max="32" min="30" style="0" width="9"/>
    <col collapsed="false" customWidth="true" hidden="false" outlineLevel="0" max="33" min="33" style="0" width="11"/>
    <col collapsed="false" customWidth="true" hidden="false" outlineLevel="0" max="34" min="34" style="0" width="10"/>
    <col collapsed="false" customWidth="true" hidden="false" outlineLevel="0" max="35" min="35" style="0" width="7"/>
  </cols>
  <sheetData>
    <row r="1" customFormat="false" ht="19.7" hidden="false" customHeight="false" outlineLevel="0" collapsed="false">
      <c r="A1" s="4" t="s">
        <v>124</v>
      </c>
    </row>
    <row r="2" customFormat="false" ht="15" hidden="false" customHeight="false" outlineLevel="0" collapsed="false">
      <c r="A2" s="5" t="s">
        <v>28</v>
      </c>
    </row>
    <row r="3" customFormat="false" ht="15" hidden="false" customHeight="false" outlineLevel="0" collapsed="false">
      <c r="A3" s="6" t="s">
        <v>29</v>
      </c>
      <c r="C3" s="7" t="n">
        <v>20000</v>
      </c>
      <c r="E3" s="6" t="s">
        <v>30</v>
      </c>
      <c r="G3" s="8" t="n">
        <f aca="false">N(C3)+SUM(AC7:AC506)</f>
        <v>22057.5</v>
      </c>
      <c r="H3" s="6" t="s">
        <v>31</v>
      </c>
      <c r="J3" s="9" t="n">
        <f aca="false">IF(N(G3)&lt;=0,"",G4/G3)</f>
        <v>0.0113340133741358</v>
      </c>
    </row>
    <row r="4" customFormat="false" ht="15" hidden="false" customHeight="false" outlineLevel="0" collapsed="false">
      <c r="A4" s="6" t="s">
        <v>32</v>
      </c>
      <c r="C4" s="10" t="n">
        <v>0.06</v>
      </c>
      <c r="E4" s="6" t="s">
        <v>33</v>
      </c>
      <c r="G4" s="8" t="n">
        <f aca="false">SUM(AG7:AG506)</f>
        <v>250</v>
      </c>
      <c r="H4" s="6" t="s">
        <v>34</v>
      </c>
      <c r="J4" s="11" t="str">
        <f aca="false">IF(OR(N(C4)&lt;=0,J3=""),"",IF(J3&gt;C4,"Over limit","OK"))</f>
        <v>OK</v>
      </c>
    </row>
    <row r="6" customFormat="false" ht="48" hidden="false" customHeight="true" outlineLevel="0" collapsed="false">
      <c r="A6" s="12" t="s">
        <v>35</v>
      </c>
      <c r="B6" s="12" t="s">
        <v>36</v>
      </c>
      <c r="C6" s="12" t="s">
        <v>37</v>
      </c>
      <c r="D6" s="12" t="s">
        <v>38</v>
      </c>
      <c r="E6" s="12" t="s">
        <v>39</v>
      </c>
      <c r="F6" s="12" t="s">
        <v>40</v>
      </c>
      <c r="G6" s="12" t="s">
        <v>41</v>
      </c>
      <c r="H6" s="12" t="s">
        <v>42</v>
      </c>
      <c r="I6" s="12" t="s">
        <v>43</v>
      </c>
      <c r="J6" s="12" t="s">
        <v>44</v>
      </c>
      <c r="K6" s="12" t="s">
        <v>45</v>
      </c>
      <c r="L6" s="12" t="s">
        <v>46</v>
      </c>
      <c r="M6" s="12" t="s">
        <v>47</v>
      </c>
      <c r="N6" s="12" t="s">
        <v>48</v>
      </c>
      <c r="O6" s="12" t="s">
        <v>49</v>
      </c>
      <c r="P6" s="12" t="s">
        <v>50</v>
      </c>
      <c r="Q6" s="12" t="s">
        <v>51</v>
      </c>
      <c r="R6" s="12" t="s">
        <v>52</v>
      </c>
      <c r="S6" s="12" t="s">
        <v>53</v>
      </c>
      <c r="T6" s="12" t="s">
        <v>54</v>
      </c>
      <c r="U6" s="12" t="s">
        <v>55</v>
      </c>
      <c r="V6" s="12" t="s">
        <v>56</v>
      </c>
      <c r="W6" s="12" t="s">
        <v>57</v>
      </c>
      <c r="X6" s="12" t="s">
        <v>58</v>
      </c>
      <c r="Y6" s="12" t="s">
        <v>59</v>
      </c>
      <c r="Z6" s="12" t="s">
        <v>60</v>
      </c>
      <c r="AA6" s="12" t="s">
        <v>61</v>
      </c>
      <c r="AB6" s="12" t="s">
        <v>62</v>
      </c>
      <c r="AC6" s="12" t="s">
        <v>63</v>
      </c>
      <c r="AD6" s="12" t="s">
        <v>64</v>
      </c>
      <c r="AE6" s="12" t="s">
        <v>65</v>
      </c>
      <c r="AF6" s="12" t="s">
        <v>66</v>
      </c>
      <c r="AG6" s="12" t="s">
        <v>67</v>
      </c>
      <c r="AH6" s="12" t="s">
        <v>68</v>
      </c>
      <c r="AI6" s="12" t="s">
        <v>69</v>
      </c>
    </row>
    <row r="7" customFormat="false" ht="15" hidden="false" customHeight="false" outlineLevel="0" collapsed="false">
      <c r="A7" s="13" t="s">
        <v>125</v>
      </c>
      <c r="B7" s="48" t="s">
        <v>126</v>
      </c>
      <c r="C7" s="48" t="s">
        <v>127</v>
      </c>
      <c r="D7" s="48" t="s">
        <v>128</v>
      </c>
      <c r="E7" s="15"/>
      <c r="F7" s="15" t="n">
        <v>46209</v>
      </c>
      <c r="G7" s="16" t="n">
        <v>100</v>
      </c>
      <c r="H7" s="17" t="n">
        <v>50</v>
      </c>
      <c r="I7" s="17" t="n">
        <v>48</v>
      </c>
      <c r="J7" s="17" t="n">
        <v>56</v>
      </c>
      <c r="K7" s="17"/>
      <c r="L7" s="16" t="n">
        <v>50</v>
      </c>
      <c r="M7" s="17" t="n">
        <v>53</v>
      </c>
      <c r="N7" s="16"/>
      <c r="O7" s="17"/>
      <c r="P7" s="15" t="n">
        <v>46217</v>
      </c>
      <c r="Q7" s="17" t="n">
        <v>54.2</v>
      </c>
      <c r="R7" s="17" t="n">
        <v>2</v>
      </c>
      <c r="S7" s="17" t="n">
        <v>49.1</v>
      </c>
      <c r="T7" s="17" t="n">
        <v>55</v>
      </c>
      <c r="U7" s="18" t="str">
        <f aca="false">IF(A7="","",IF(N(G7)-N(L7)-N(N7)&lt;0,"Check shares",IF(AND(P7&lt;&gt;"",Q7&lt;&gt;""),"Closed","Open")))</f>
        <v>Closed</v>
      </c>
      <c r="V7" s="19" t="n">
        <f aca="false">IF(OR(F7="",P7=""),"",NETWORKDAYS(F7,P7,Lists!$F$5:$F$40)-1)</f>
        <v>6</v>
      </c>
      <c r="W7" s="18" t="str">
        <f aca="false">IF(V7="","",IF(V7=0,"Same day","Overnight"))</f>
        <v>Overnight</v>
      </c>
      <c r="X7" s="18" t="str">
        <f aca="false">IF(OR(E7="",F7=""),"",IF(AND(E7&gt;=F7,OR(P7="",E7&lt;=P7)),"Yes","No"))</f>
        <v/>
      </c>
      <c r="Y7" s="20" t="n">
        <f aca="false">IF(A7="","",N(G7)-N(L7)-N(N7))</f>
        <v>50</v>
      </c>
      <c r="Z7" s="21" t="n">
        <f aca="false">IF(OR(G7="",H7="",I7=""),"",ABS(H7-I7)*G7)</f>
        <v>200</v>
      </c>
      <c r="AA7" s="22" t="n">
        <f aca="false">IF(OR(J7="",N(Z7)=0),"",ABS(J7-H7)/ABS(H7-I7))</f>
        <v>3</v>
      </c>
      <c r="AB7" s="23" t="n">
        <f aca="false">IF(U7&lt;&gt;"Closed","",(N(L7)*N(M7)+N(N7)*N(O7)+Y7*Q7)/G7)</f>
        <v>53.6</v>
      </c>
      <c r="AC7" s="24" t="n">
        <f aca="false">IF(U7&lt;&gt;"Closed","",IF($B7="Short",-1,1)*((N(M7)-H7)*N(L7)+(N(O7)-H7)*N(N7)+(Q7-H7)*Y7)-N(R7))</f>
        <v>358</v>
      </c>
      <c r="AD7" s="25" t="n">
        <f aca="false">IF(OR(AC7="",N(Z7)=0),"",AC7/Z7)</f>
        <v>1.79</v>
      </c>
      <c r="AE7" s="25" t="n">
        <f aca="false">IF(OR(S7="",N(Z7)=0),"",IF($B7="Short",-1,1)*(S7-H7)*G7/Z7)</f>
        <v>-0.449999999999999</v>
      </c>
      <c r="AF7" s="25" t="n">
        <f aca="false">IF(OR(T7="",N(Z7)=0),"",IF($B7="Short",-1,1)*(T7-H7)*G7/Z7)</f>
        <v>2.5</v>
      </c>
      <c r="AG7" s="21" t="str">
        <f aca="false">IF(U7&lt;&gt;"Open","",Y7*MAX(0,IF($B7="Short",-1,1)*(H7-IF(K7="",I7,K7))))</f>
        <v/>
      </c>
      <c r="AH7" s="26" t="n">
        <f aca="false">IF(U7&lt;&gt;"Closed","",DATE(YEAR(P7),MONTH(P7),1))</f>
        <v>46204</v>
      </c>
      <c r="AI7" s="19" t="n">
        <f aca="false">IF(U7&lt;&gt;"Closed","",COUNTIFS($U$7:$U$506,"Closed",$P$7:$P$506,"&lt;"&amp;P7)+COUNTIFS($U$7:U7,"Closed",$P$7:P7,P7))</f>
        <v>2</v>
      </c>
    </row>
    <row r="8" customFormat="false" ht="15" hidden="false" customHeight="false" outlineLevel="0" collapsed="false">
      <c r="A8" s="13" t="s">
        <v>129</v>
      </c>
      <c r="B8" s="48" t="s">
        <v>126</v>
      </c>
      <c r="C8" s="48" t="s">
        <v>130</v>
      </c>
      <c r="D8" s="48" t="s">
        <v>128</v>
      </c>
      <c r="E8" s="15"/>
      <c r="F8" s="15" t="n">
        <v>46211</v>
      </c>
      <c r="G8" s="16" t="n">
        <v>200</v>
      </c>
      <c r="H8" s="17" t="n">
        <v>25</v>
      </c>
      <c r="I8" s="17" t="n">
        <v>24</v>
      </c>
      <c r="J8" s="17" t="n">
        <v>28</v>
      </c>
      <c r="K8" s="17"/>
      <c r="L8" s="16"/>
      <c r="M8" s="17"/>
      <c r="N8" s="16"/>
      <c r="O8" s="17"/>
      <c r="P8" s="15" t="n">
        <v>46213</v>
      </c>
      <c r="Q8" s="17" t="n">
        <v>23.95</v>
      </c>
      <c r="R8" s="17" t="n">
        <v>2</v>
      </c>
      <c r="S8" s="17" t="n">
        <v>23.8</v>
      </c>
      <c r="T8" s="17" t="n">
        <v>25.4</v>
      </c>
      <c r="U8" s="18" t="str">
        <f aca="false">IF(A8="","",IF(N(G8)-N(L8)-N(N8)&lt;0,"Check shares",IF(AND(P8&lt;&gt;"",Q8&lt;&gt;""),"Closed","Open")))</f>
        <v>Closed</v>
      </c>
      <c r="V8" s="19" t="n">
        <f aca="false">IF(OR(F8="",P8=""),"",NETWORKDAYS(F8,P8,Lists!$F$5:$F$40)-1)</f>
        <v>2</v>
      </c>
      <c r="W8" s="18" t="str">
        <f aca="false">IF(V8="","",IF(V8=0,"Same day","Overnight"))</f>
        <v>Overnight</v>
      </c>
      <c r="X8" s="18" t="str">
        <f aca="false">IF(OR(E8="",F8=""),"",IF(AND(E8&gt;=F8,OR(P8="",E8&lt;=P8)),"Yes","No"))</f>
        <v/>
      </c>
      <c r="Y8" s="20" t="n">
        <f aca="false">IF(A8="","",N(G8)-N(L8)-N(N8))</f>
        <v>200</v>
      </c>
      <c r="Z8" s="21" t="n">
        <f aca="false">IF(OR(G8="",H8="",I8=""),"",ABS(H8-I8)*G8)</f>
        <v>200</v>
      </c>
      <c r="AA8" s="22" t="n">
        <f aca="false">IF(OR(J8="",N(Z8)=0),"",ABS(J8-H8)/ABS(H8-I8))</f>
        <v>3</v>
      </c>
      <c r="AB8" s="23" t="n">
        <f aca="false">IF(U8&lt;&gt;"Closed","",(N(L8)*N(M8)+N(N8)*N(O8)+Y8*Q8)/G8)</f>
        <v>23.95</v>
      </c>
      <c r="AC8" s="24" t="n">
        <f aca="false">IF(U8&lt;&gt;"Closed","",IF($B8="Short",-1,1)*((N(M8)-H8)*N(L8)+(N(O8)-H8)*N(N8)+(Q8-H8)*Y8)-N(R8))</f>
        <v>-212</v>
      </c>
      <c r="AD8" s="25" t="n">
        <f aca="false">IF(OR(AC8="",N(Z8)=0),"",AC8/Z8)</f>
        <v>-1.06</v>
      </c>
      <c r="AE8" s="25" t="n">
        <f aca="false">IF(OR(S8="",N(Z8)=0),"",IF($B8="Short",-1,1)*(S8-H8)*G8/Z8)</f>
        <v>-1.2</v>
      </c>
      <c r="AF8" s="25" t="n">
        <f aca="false">IF(OR(T8="",N(Z8)=0),"",IF($B8="Short",-1,1)*(T8-H8)*G8/Z8)</f>
        <v>0.399999999999999</v>
      </c>
      <c r="AG8" s="21" t="str">
        <f aca="false">IF(U8&lt;&gt;"Open","",Y8*MAX(0,IF($B8="Short",-1,1)*(H8-IF(K8="",I8,K8))))</f>
        <v/>
      </c>
      <c r="AH8" s="26" t="n">
        <f aca="false">IF(U8&lt;&gt;"Closed","",DATE(YEAR(P8),MONTH(P8),1))</f>
        <v>46204</v>
      </c>
      <c r="AI8" s="19" t="n">
        <f aca="false">IF(U8&lt;&gt;"Closed","",COUNTIFS($U$7:$U$506,"Closed",$P$7:$P$506,"&lt;"&amp;P8)+COUNTIFS($U$7:U8,"Closed",$P$7:P8,P8))</f>
        <v>1</v>
      </c>
    </row>
    <row r="9" customFormat="false" ht="15" hidden="false" customHeight="false" outlineLevel="0" collapsed="false">
      <c r="A9" s="13" t="s">
        <v>131</v>
      </c>
      <c r="B9" s="48" t="s">
        <v>132</v>
      </c>
      <c r="C9" s="48" t="s">
        <v>133</v>
      </c>
      <c r="D9" s="48" t="s">
        <v>134</v>
      </c>
      <c r="E9" s="15"/>
      <c r="F9" s="15" t="n">
        <v>46216</v>
      </c>
      <c r="G9" s="16" t="n">
        <v>150</v>
      </c>
      <c r="H9" s="17" t="n">
        <v>40</v>
      </c>
      <c r="I9" s="17" t="n">
        <v>41.3</v>
      </c>
      <c r="J9" s="17" t="n">
        <v>36</v>
      </c>
      <c r="K9" s="17"/>
      <c r="L9" s="16" t="n">
        <v>75</v>
      </c>
      <c r="M9" s="17" t="n">
        <v>38</v>
      </c>
      <c r="N9" s="16"/>
      <c r="O9" s="17"/>
      <c r="P9" s="15" t="n">
        <v>46220</v>
      </c>
      <c r="Q9" s="17" t="n">
        <v>37.2</v>
      </c>
      <c r="R9" s="17" t="n">
        <v>2</v>
      </c>
      <c r="S9" s="17" t="n">
        <v>40.9</v>
      </c>
      <c r="T9" s="17" t="n">
        <v>36.9</v>
      </c>
      <c r="U9" s="18" t="str">
        <f aca="false">IF(A9="","",IF(N(G9)-N(L9)-N(N9)&lt;0,"Check shares",IF(AND(P9&lt;&gt;"",Q9&lt;&gt;""),"Closed","Open")))</f>
        <v>Closed</v>
      </c>
      <c r="V9" s="19" t="n">
        <f aca="false">IF(OR(F9="",P9=""),"",NETWORKDAYS(F9,P9,Lists!$F$5:$F$40)-1)</f>
        <v>4</v>
      </c>
      <c r="W9" s="18" t="str">
        <f aca="false">IF(V9="","",IF(V9=0,"Same day","Overnight"))</f>
        <v>Overnight</v>
      </c>
      <c r="X9" s="18" t="str">
        <f aca="false">IF(OR(E9="",F9=""),"",IF(AND(E9&gt;=F9,OR(P9="",E9&lt;=P9)),"Yes","No"))</f>
        <v/>
      </c>
      <c r="Y9" s="20" t="n">
        <f aca="false">IF(A9="","",N(G9)-N(L9)-N(N9))</f>
        <v>75</v>
      </c>
      <c r="Z9" s="21" t="n">
        <f aca="false">IF(OR(G9="",H9="",I9=""),"",ABS(H9-I9)*G9)</f>
        <v>195</v>
      </c>
      <c r="AA9" s="22" t="n">
        <f aca="false">IF(OR(J9="",N(Z9)=0),"",ABS(J9-H9)/ABS(H9-I9))</f>
        <v>3.07692307692308</v>
      </c>
      <c r="AB9" s="23" t="n">
        <f aca="false">IF(U9&lt;&gt;"Closed","",(N(L9)*N(M9)+N(N9)*N(O9)+Y9*Q9)/G9)</f>
        <v>37.6</v>
      </c>
      <c r="AC9" s="24" t="n">
        <f aca="false">IF(U9&lt;&gt;"Closed","",IF($B9="Short",-1,1)*((N(M9)-H9)*N(L9)+(N(O9)-H9)*N(N9)+(Q9-H9)*Y9)-N(R9))</f>
        <v>358</v>
      </c>
      <c r="AD9" s="25" t="n">
        <f aca="false">IF(OR(AC9="",N(Z9)=0),"",AC9/Z9)</f>
        <v>1.83589743589744</v>
      </c>
      <c r="AE9" s="25" t="n">
        <f aca="false">IF(OR(S9="",N(Z9)=0),"",IF($B9="Short",-1,1)*(S9-H9)*G9/Z9)</f>
        <v>-0.692307692307693</v>
      </c>
      <c r="AF9" s="25" t="n">
        <f aca="false">IF(OR(T9="",N(Z9)=0),"",IF($B9="Short",-1,1)*(T9-H9)*G9/Z9)</f>
        <v>2.38461538461539</v>
      </c>
      <c r="AG9" s="21" t="str">
        <f aca="false">IF(U9&lt;&gt;"Open","",Y9*MAX(0,IF($B9="Short",-1,1)*(H9-IF(K9="",I9,K9))))</f>
        <v/>
      </c>
      <c r="AH9" s="26" t="n">
        <f aca="false">IF(U9&lt;&gt;"Closed","",DATE(YEAR(P9),MONTH(P9),1))</f>
        <v>46204</v>
      </c>
      <c r="AI9" s="19" t="n">
        <f aca="false">IF(U9&lt;&gt;"Closed","",COUNTIFS($U$7:$U$506,"Closed",$P$7:$P$506,"&lt;"&amp;P9)+COUNTIFS($U$7:U9,"Closed",$P$7:P9,P9))</f>
        <v>3</v>
      </c>
    </row>
    <row r="10" customFormat="false" ht="15" hidden="false" customHeight="false" outlineLevel="0" collapsed="false">
      <c r="A10" s="13" t="s">
        <v>135</v>
      </c>
      <c r="B10" s="48" t="s">
        <v>126</v>
      </c>
      <c r="C10" s="48" t="s">
        <v>136</v>
      </c>
      <c r="D10" s="48" t="s">
        <v>137</v>
      </c>
      <c r="E10" s="15" t="n">
        <v>46226</v>
      </c>
      <c r="F10" s="15" t="n">
        <v>46218</v>
      </c>
      <c r="G10" s="16" t="n">
        <v>120</v>
      </c>
      <c r="H10" s="17" t="n">
        <v>60</v>
      </c>
      <c r="I10" s="17" t="n">
        <v>58.4</v>
      </c>
      <c r="J10" s="17" t="n">
        <v>66</v>
      </c>
      <c r="K10" s="17"/>
      <c r="L10" s="16"/>
      <c r="M10" s="17"/>
      <c r="N10" s="16"/>
      <c r="O10" s="17"/>
      <c r="P10" s="15" t="n">
        <v>46227</v>
      </c>
      <c r="Q10" s="17" t="n">
        <v>55.1</v>
      </c>
      <c r="R10" s="17" t="n">
        <v>2</v>
      </c>
      <c r="S10" s="17" t="n">
        <v>54.8</v>
      </c>
      <c r="T10" s="17" t="n">
        <v>61.2</v>
      </c>
      <c r="U10" s="18" t="str">
        <f aca="false">IF(A10="","",IF(N(G10)-N(L10)-N(N10)&lt;0,"Check shares",IF(AND(P10&lt;&gt;"",Q10&lt;&gt;""),"Closed","Open")))</f>
        <v>Closed</v>
      </c>
      <c r="V10" s="19" t="n">
        <f aca="false">IF(OR(F10="",P10=""),"",NETWORKDAYS(F10,P10,Lists!$F$5:$F$40)-1)</f>
        <v>7</v>
      </c>
      <c r="W10" s="18" t="str">
        <f aca="false">IF(V10="","",IF(V10=0,"Same day","Overnight"))</f>
        <v>Overnight</v>
      </c>
      <c r="X10" s="18" t="str">
        <f aca="false">IF(OR(E10="",F10=""),"",IF(AND(E10&gt;=F10,OR(P10="",E10&lt;=P10)),"Yes","No"))</f>
        <v>Yes</v>
      </c>
      <c r="Y10" s="20" t="n">
        <f aca="false">IF(A10="","",N(G10)-N(L10)-N(N10))</f>
        <v>120</v>
      </c>
      <c r="Z10" s="21" t="n">
        <f aca="false">IF(OR(G10="",H10="",I10=""),"",ABS(H10-I10)*G10)</f>
        <v>192</v>
      </c>
      <c r="AA10" s="22" t="n">
        <f aca="false">IF(OR(J10="",N(Z10)=0),"",ABS(J10-H10)/ABS(H10-I10))</f>
        <v>3.75</v>
      </c>
      <c r="AB10" s="23" t="n">
        <f aca="false">IF(U10&lt;&gt;"Closed","",(N(L10)*N(M10)+N(N10)*N(O10)+Y10*Q10)/G10)</f>
        <v>55.1</v>
      </c>
      <c r="AC10" s="24" t="n">
        <f aca="false">IF(U10&lt;&gt;"Closed","",IF($B10="Short",-1,1)*((N(M10)-H10)*N(L10)+(N(O10)-H10)*N(N10)+(Q10-H10)*Y10)-N(R10))</f>
        <v>-590</v>
      </c>
      <c r="AD10" s="25" t="n">
        <f aca="false">IF(OR(AC10="",N(Z10)=0),"",AC10/Z10)</f>
        <v>-3.07291666666666</v>
      </c>
      <c r="AE10" s="25" t="n">
        <f aca="false">IF(OR(S10="",N(Z10)=0),"",IF($B10="Short",-1,1)*(S10-H10)*G10/Z10)</f>
        <v>-3.25</v>
      </c>
      <c r="AF10" s="25" t="n">
        <f aca="false">IF(OR(T10="",N(Z10)=0),"",IF($B10="Short",-1,1)*(T10-H10)*G10/Z10)</f>
        <v>0.750000000000001</v>
      </c>
      <c r="AG10" s="21" t="str">
        <f aca="false">IF(U10&lt;&gt;"Open","",Y10*MAX(0,IF($B10="Short",-1,1)*(H10-IF(K10="",I10,K10))))</f>
        <v/>
      </c>
      <c r="AH10" s="26" t="n">
        <f aca="false">IF(U10&lt;&gt;"Closed","",DATE(YEAR(P10),MONTH(P10),1))</f>
        <v>46204</v>
      </c>
      <c r="AI10" s="19" t="n">
        <f aca="false">IF(U10&lt;&gt;"Closed","",COUNTIFS($U$7:$U$506,"Closed",$P$7:$P$506,"&lt;"&amp;P10)+COUNTIFS($U$7:U10,"Closed",$P$7:P10,P10))</f>
        <v>5</v>
      </c>
    </row>
    <row r="11" customFormat="false" ht="15" hidden="false" customHeight="false" outlineLevel="0" collapsed="false">
      <c r="A11" s="13" t="s">
        <v>138</v>
      </c>
      <c r="B11" s="48" t="s">
        <v>126</v>
      </c>
      <c r="C11" s="48" t="s">
        <v>139</v>
      </c>
      <c r="D11" s="48" t="s">
        <v>128</v>
      </c>
      <c r="E11" s="15"/>
      <c r="F11" s="15" t="n">
        <v>46223</v>
      </c>
      <c r="G11" s="16" t="n">
        <v>80</v>
      </c>
      <c r="H11" s="17" t="n">
        <v>75</v>
      </c>
      <c r="I11" s="17" t="n">
        <v>72.5</v>
      </c>
      <c r="J11" s="17" t="n">
        <v>82.5</v>
      </c>
      <c r="K11" s="17"/>
      <c r="L11" s="16" t="n">
        <v>40</v>
      </c>
      <c r="M11" s="17" t="n">
        <v>79</v>
      </c>
      <c r="N11" s="16" t="n">
        <v>20</v>
      </c>
      <c r="O11" s="17" t="n">
        <v>81</v>
      </c>
      <c r="P11" s="15" t="n">
        <v>46234</v>
      </c>
      <c r="Q11" s="17" t="n">
        <v>80.2</v>
      </c>
      <c r="R11" s="17" t="n">
        <v>2.5</v>
      </c>
      <c r="S11" s="17" t="n">
        <v>73.9</v>
      </c>
      <c r="T11" s="17" t="n">
        <v>82</v>
      </c>
      <c r="U11" s="18" t="str">
        <f aca="false">IF(A11="","",IF(N(G11)-N(L11)-N(N11)&lt;0,"Check shares",IF(AND(P11&lt;&gt;"",Q11&lt;&gt;""),"Closed","Open")))</f>
        <v>Closed</v>
      </c>
      <c r="V11" s="19" t="n">
        <f aca="false">IF(OR(F11="",P11=""),"",NETWORKDAYS(F11,P11,Lists!$F$5:$F$40)-1)</f>
        <v>9</v>
      </c>
      <c r="W11" s="18" t="str">
        <f aca="false">IF(V11="","",IF(V11=0,"Same day","Overnight"))</f>
        <v>Overnight</v>
      </c>
      <c r="X11" s="18" t="str">
        <f aca="false">IF(OR(E11="",F11=""),"",IF(AND(E11&gt;=F11,OR(P11="",E11&lt;=P11)),"Yes","No"))</f>
        <v/>
      </c>
      <c r="Y11" s="20" t="n">
        <f aca="false">IF(A11="","",N(G11)-N(L11)-N(N11))</f>
        <v>20</v>
      </c>
      <c r="Z11" s="21" t="n">
        <f aca="false">IF(OR(G11="",H11="",I11=""),"",ABS(H11-I11)*G11)</f>
        <v>200</v>
      </c>
      <c r="AA11" s="22" t="n">
        <f aca="false">IF(OR(J11="",N(Z11)=0),"",ABS(J11-H11)/ABS(H11-I11))</f>
        <v>3</v>
      </c>
      <c r="AB11" s="23" t="n">
        <f aca="false">IF(U11&lt;&gt;"Closed","",(N(L11)*N(M11)+N(N11)*N(O11)+Y11*Q11)/G11)</f>
        <v>79.8</v>
      </c>
      <c r="AC11" s="24" t="n">
        <f aca="false">IF(U11&lt;&gt;"Closed","",IF($B11="Short",-1,1)*((N(M11)-H11)*N(L11)+(N(O11)-H11)*N(N11)+(Q11-H11)*Y11)-N(R11))</f>
        <v>381.5</v>
      </c>
      <c r="AD11" s="25" t="n">
        <f aca="false">IF(OR(AC11="",N(Z11)=0),"",AC11/Z11)</f>
        <v>1.9075</v>
      </c>
      <c r="AE11" s="25" t="n">
        <f aca="false">IF(OR(S11="",N(Z11)=0),"",IF($B11="Short",-1,1)*(S11-H11)*G11/Z11)</f>
        <v>-0.439999999999998</v>
      </c>
      <c r="AF11" s="25" t="n">
        <f aca="false">IF(OR(T11="",N(Z11)=0),"",IF($B11="Short",-1,1)*(T11-H11)*G11/Z11)</f>
        <v>2.8</v>
      </c>
      <c r="AG11" s="21" t="str">
        <f aca="false">IF(U11&lt;&gt;"Open","",Y11*MAX(0,IF($B11="Short",-1,1)*(H11-IF(K11="",I11,K11))))</f>
        <v/>
      </c>
      <c r="AH11" s="26" t="n">
        <f aca="false">IF(U11&lt;&gt;"Closed","",DATE(YEAR(P11),MONTH(P11),1))</f>
        <v>46204</v>
      </c>
      <c r="AI11" s="19" t="n">
        <f aca="false">IF(U11&lt;&gt;"Closed","",COUNTIFS($U$7:$U$506,"Closed",$P$7:$P$506,"&lt;"&amp;P11)+COUNTIFS($U$7:U11,"Closed",$P$7:P11,P11))</f>
        <v>6</v>
      </c>
    </row>
    <row r="12" customFormat="false" ht="15" hidden="false" customHeight="false" outlineLevel="0" collapsed="false">
      <c r="A12" s="13" t="s">
        <v>140</v>
      </c>
      <c r="B12" s="48" t="s">
        <v>126</v>
      </c>
      <c r="C12" s="48" t="s">
        <v>130</v>
      </c>
      <c r="D12" s="48" t="s">
        <v>128</v>
      </c>
      <c r="E12" s="15"/>
      <c r="F12" s="15" t="n">
        <v>46225</v>
      </c>
      <c r="G12" s="16" t="n">
        <v>300</v>
      </c>
      <c r="H12" s="17" t="n">
        <v>12</v>
      </c>
      <c r="I12" s="17" t="n">
        <v>11.35</v>
      </c>
      <c r="J12" s="17" t="n">
        <v>14</v>
      </c>
      <c r="K12" s="17"/>
      <c r="L12" s="16"/>
      <c r="M12" s="17"/>
      <c r="N12" s="16"/>
      <c r="O12" s="17"/>
      <c r="P12" s="15" t="n">
        <v>46225</v>
      </c>
      <c r="Q12" s="17" t="n">
        <v>11.3</v>
      </c>
      <c r="R12" s="17" t="n">
        <v>2</v>
      </c>
      <c r="S12" s="17" t="n">
        <v>11.25</v>
      </c>
      <c r="T12" s="17" t="n">
        <v>12.15</v>
      </c>
      <c r="U12" s="18" t="str">
        <f aca="false">IF(A12="","",IF(N(G12)-N(L12)-N(N12)&lt;0,"Check shares",IF(AND(P12&lt;&gt;"",Q12&lt;&gt;""),"Closed","Open")))</f>
        <v>Closed</v>
      </c>
      <c r="V12" s="19" t="n">
        <f aca="false">IF(OR(F12="",P12=""),"",NETWORKDAYS(F12,P12,Lists!$F$5:$F$40)-1)</f>
        <v>0</v>
      </c>
      <c r="W12" s="18" t="str">
        <f aca="false">IF(V12="","",IF(V12=0,"Same day","Overnight"))</f>
        <v>Same day</v>
      </c>
      <c r="X12" s="18" t="str">
        <f aca="false">IF(OR(E12="",F12=""),"",IF(AND(E12&gt;=F12,OR(P12="",E12&lt;=P12)),"Yes","No"))</f>
        <v/>
      </c>
      <c r="Y12" s="20" t="n">
        <f aca="false">IF(A12="","",N(G12)-N(L12)-N(N12))</f>
        <v>300</v>
      </c>
      <c r="Z12" s="21" t="n">
        <f aca="false">IF(OR(G12="",H12="",I12=""),"",ABS(H12-I12)*G12)</f>
        <v>195</v>
      </c>
      <c r="AA12" s="22" t="n">
        <f aca="false">IF(OR(J12="",N(Z12)=0),"",ABS(J12-H12)/ABS(H12-I12))</f>
        <v>3.07692307692308</v>
      </c>
      <c r="AB12" s="23" t="n">
        <f aca="false">IF(U12&lt;&gt;"Closed","",(N(L12)*N(M12)+N(N12)*N(O12)+Y12*Q12)/G12)</f>
        <v>11.3</v>
      </c>
      <c r="AC12" s="24" t="n">
        <f aca="false">IF(U12&lt;&gt;"Closed","",IF($B12="Short",-1,1)*((N(M12)-H12)*N(L12)+(N(O12)-H12)*N(N12)+(Q12-H12)*Y12)-N(R12))</f>
        <v>-212</v>
      </c>
      <c r="AD12" s="25" t="n">
        <f aca="false">IF(OR(AC12="",N(Z12)=0),"",AC12/Z12)</f>
        <v>-1.08717948717949</v>
      </c>
      <c r="AE12" s="25" t="n">
        <f aca="false">IF(OR(S12="",N(Z12)=0),"",IF($B12="Short",-1,1)*(S12-H12)*G12/Z12)</f>
        <v>-1.15384615384615</v>
      </c>
      <c r="AF12" s="25" t="n">
        <f aca="false">IF(OR(T12="",N(Z12)=0),"",IF($B12="Short",-1,1)*(T12-H12)*G12/Z12)</f>
        <v>0.230769230769231</v>
      </c>
      <c r="AG12" s="21" t="str">
        <f aca="false">IF(U12&lt;&gt;"Open","",Y12*MAX(0,IF($B12="Short",-1,1)*(H12-IF(K12="",I12,K12))))</f>
        <v/>
      </c>
      <c r="AH12" s="26" t="n">
        <f aca="false">IF(U12&lt;&gt;"Closed","",DATE(YEAR(P12),MONTH(P12),1))</f>
        <v>46204</v>
      </c>
      <c r="AI12" s="19" t="n">
        <f aca="false">IF(U12&lt;&gt;"Closed","",COUNTIFS($U$7:$U$506,"Closed",$P$7:$P$506,"&lt;"&amp;P12)+COUNTIFS($U$7:U12,"Closed",$P$7:P12,P12))</f>
        <v>4</v>
      </c>
    </row>
    <row r="13" customFormat="false" ht="15" hidden="false" customHeight="false" outlineLevel="0" collapsed="false">
      <c r="A13" s="13" t="s">
        <v>125</v>
      </c>
      <c r="B13" s="48" t="s">
        <v>126</v>
      </c>
      <c r="C13" s="48" t="s">
        <v>130</v>
      </c>
      <c r="D13" s="48" t="s">
        <v>128</v>
      </c>
      <c r="E13" s="15"/>
      <c r="F13" s="15" t="n">
        <v>46231</v>
      </c>
      <c r="G13" s="16" t="n">
        <v>100</v>
      </c>
      <c r="H13" s="17" t="n">
        <v>55</v>
      </c>
      <c r="I13" s="17" t="n">
        <v>53</v>
      </c>
      <c r="J13" s="17" t="n">
        <v>61</v>
      </c>
      <c r="K13" s="17"/>
      <c r="L13" s="16"/>
      <c r="M13" s="17"/>
      <c r="N13" s="16"/>
      <c r="O13" s="17"/>
      <c r="P13" s="15" t="n">
        <v>46238</v>
      </c>
      <c r="Q13" s="17" t="n">
        <v>56.6</v>
      </c>
      <c r="R13" s="17" t="n">
        <v>2</v>
      </c>
      <c r="S13" s="17" t="n">
        <v>54.1</v>
      </c>
      <c r="T13" s="17" t="n">
        <v>57.8</v>
      </c>
      <c r="U13" s="18" t="str">
        <f aca="false">IF(A13="","",IF(N(G13)-N(L13)-N(N13)&lt;0,"Check shares",IF(AND(P13&lt;&gt;"",Q13&lt;&gt;""),"Closed","Open")))</f>
        <v>Closed</v>
      </c>
      <c r="V13" s="19" t="n">
        <f aca="false">IF(OR(F13="",P13=""),"",NETWORKDAYS(F13,P13,Lists!$F$5:$F$40)-1)</f>
        <v>5</v>
      </c>
      <c r="W13" s="18" t="str">
        <f aca="false">IF(V13="","",IF(V13=0,"Same day","Overnight"))</f>
        <v>Overnight</v>
      </c>
      <c r="X13" s="18" t="str">
        <f aca="false">IF(OR(E13="",F13=""),"",IF(AND(E13&gt;=F13,OR(P13="",E13&lt;=P13)),"Yes","No"))</f>
        <v/>
      </c>
      <c r="Y13" s="20" t="n">
        <f aca="false">IF(A13="","",N(G13)-N(L13)-N(N13))</f>
        <v>100</v>
      </c>
      <c r="Z13" s="21" t="n">
        <f aca="false">IF(OR(G13="",H13="",I13=""),"",ABS(H13-I13)*G13)</f>
        <v>200</v>
      </c>
      <c r="AA13" s="22" t="n">
        <f aca="false">IF(OR(J13="",N(Z13)=0),"",ABS(J13-H13)/ABS(H13-I13))</f>
        <v>3</v>
      </c>
      <c r="AB13" s="23" t="n">
        <f aca="false">IF(U13&lt;&gt;"Closed","",(N(L13)*N(M13)+N(N13)*N(O13)+Y13*Q13)/G13)</f>
        <v>56.6</v>
      </c>
      <c r="AC13" s="24" t="n">
        <f aca="false">IF(U13&lt;&gt;"Closed","",IF($B13="Short",-1,1)*((N(M13)-H13)*N(L13)+(N(O13)-H13)*N(N13)+(Q13-H13)*Y13)-N(R13))</f>
        <v>158</v>
      </c>
      <c r="AD13" s="25" t="n">
        <f aca="false">IF(OR(AC13="",N(Z13)=0),"",AC13/Z13)</f>
        <v>0.790000000000001</v>
      </c>
      <c r="AE13" s="25" t="n">
        <f aca="false">IF(OR(S13="",N(Z13)=0),"",IF($B13="Short",-1,1)*(S13-H13)*G13/Z13)</f>
        <v>-0.449999999999999</v>
      </c>
      <c r="AF13" s="25" t="n">
        <f aca="false">IF(OR(T13="",N(Z13)=0),"",IF($B13="Short",-1,1)*(T13-H13)*G13/Z13)</f>
        <v>1.4</v>
      </c>
      <c r="AG13" s="21" t="str">
        <f aca="false">IF(U13&lt;&gt;"Open","",Y13*MAX(0,IF($B13="Short",-1,1)*(H13-IF(K13="",I13,K13))))</f>
        <v/>
      </c>
      <c r="AH13" s="26" t="n">
        <f aca="false">IF(U13&lt;&gt;"Closed","",DATE(YEAR(P13),MONTH(P13),1))</f>
        <v>46235</v>
      </c>
      <c r="AI13" s="19" t="n">
        <f aca="false">IF(U13&lt;&gt;"Closed","",COUNTIFS($U$7:$U$506,"Closed",$P$7:$P$506,"&lt;"&amp;P13)+COUNTIFS($U$7:U13,"Closed",$P$7:P13,P13))</f>
        <v>7</v>
      </c>
    </row>
    <row r="14" customFormat="false" ht="15" hidden="false" customHeight="false" outlineLevel="0" collapsed="false">
      <c r="A14" s="13" t="s">
        <v>141</v>
      </c>
      <c r="B14" s="48" t="s">
        <v>132</v>
      </c>
      <c r="C14" s="48" t="s">
        <v>142</v>
      </c>
      <c r="D14" s="48" t="s">
        <v>128</v>
      </c>
      <c r="E14" s="15"/>
      <c r="F14" s="15" t="n">
        <v>46237</v>
      </c>
      <c r="G14" s="16" t="n">
        <v>100</v>
      </c>
      <c r="H14" s="17" t="n">
        <v>90</v>
      </c>
      <c r="I14" s="17" t="n">
        <v>92</v>
      </c>
      <c r="J14" s="17" t="n">
        <v>84</v>
      </c>
      <c r="K14" s="17"/>
      <c r="L14" s="16" t="n">
        <v>50</v>
      </c>
      <c r="M14" s="17" t="n">
        <v>87</v>
      </c>
      <c r="N14" s="16"/>
      <c r="O14" s="17"/>
      <c r="P14" s="15" t="n">
        <v>46241</v>
      </c>
      <c r="Q14" s="17" t="n">
        <v>88.5</v>
      </c>
      <c r="R14" s="17" t="n">
        <v>2</v>
      </c>
      <c r="S14" s="17" t="n">
        <v>91.2</v>
      </c>
      <c r="T14" s="17" t="n">
        <v>86.4</v>
      </c>
      <c r="U14" s="18" t="str">
        <f aca="false">IF(A14="","",IF(N(G14)-N(L14)-N(N14)&lt;0,"Check shares",IF(AND(P14&lt;&gt;"",Q14&lt;&gt;""),"Closed","Open")))</f>
        <v>Closed</v>
      </c>
      <c r="V14" s="19" t="n">
        <f aca="false">IF(OR(F14="",P14=""),"",NETWORKDAYS(F14,P14,Lists!$F$5:$F$40)-1)</f>
        <v>4</v>
      </c>
      <c r="W14" s="18" t="str">
        <f aca="false">IF(V14="","",IF(V14=0,"Same day","Overnight"))</f>
        <v>Overnight</v>
      </c>
      <c r="X14" s="18" t="str">
        <f aca="false">IF(OR(E14="",F14=""),"",IF(AND(E14&gt;=F14,OR(P14="",E14&lt;=P14)),"Yes","No"))</f>
        <v/>
      </c>
      <c r="Y14" s="20" t="n">
        <f aca="false">IF(A14="","",N(G14)-N(L14)-N(N14))</f>
        <v>50</v>
      </c>
      <c r="Z14" s="21" t="n">
        <f aca="false">IF(OR(G14="",H14="",I14=""),"",ABS(H14-I14)*G14)</f>
        <v>200</v>
      </c>
      <c r="AA14" s="22" t="n">
        <f aca="false">IF(OR(J14="",N(Z14)=0),"",ABS(J14-H14)/ABS(H14-I14))</f>
        <v>3</v>
      </c>
      <c r="AB14" s="23" t="n">
        <f aca="false">IF(U14&lt;&gt;"Closed","",(N(L14)*N(M14)+N(N14)*N(O14)+Y14*Q14)/G14)</f>
        <v>87.75</v>
      </c>
      <c r="AC14" s="24" t="n">
        <f aca="false">IF(U14&lt;&gt;"Closed","",IF($B14="Short",-1,1)*((N(M14)-H14)*N(L14)+(N(O14)-H14)*N(N14)+(Q14-H14)*Y14)-N(R14))</f>
        <v>223</v>
      </c>
      <c r="AD14" s="25" t="n">
        <f aca="false">IF(OR(AC14="",N(Z14)=0),"",AC14/Z14)</f>
        <v>1.115</v>
      </c>
      <c r="AE14" s="25" t="n">
        <f aca="false">IF(OR(S14="",N(Z14)=0),"",IF($B14="Short",-1,1)*(S14-H14)*G14/Z14)</f>
        <v>-0.600000000000001</v>
      </c>
      <c r="AF14" s="25" t="n">
        <f aca="false">IF(OR(T14="",N(Z14)=0),"",IF($B14="Short",-1,1)*(T14-H14)*G14/Z14)</f>
        <v>1.8</v>
      </c>
      <c r="AG14" s="21" t="str">
        <f aca="false">IF(U14&lt;&gt;"Open","",Y14*MAX(0,IF($B14="Short",-1,1)*(H14-IF(K14="",I14,K14))))</f>
        <v/>
      </c>
      <c r="AH14" s="26" t="n">
        <f aca="false">IF(U14&lt;&gt;"Closed","",DATE(YEAR(P14),MONTH(P14),1))</f>
        <v>46235</v>
      </c>
      <c r="AI14" s="19" t="n">
        <f aca="false">IF(U14&lt;&gt;"Closed","",COUNTIFS($U$7:$U$506,"Closed",$P$7:$P$506,"&lt;"&amp;P14)+COUNTIFS($U$7:U14,"Closed",$P$7:P14,P14))</f>
        <v>8</v>
      </c>
    </row>
    <row r="15" customFormat="false" ht="15" hidden="false" customHeight="false" outlineLevel="0" collapsed="false">
      <c r="A15" s="13" t="s">
        <v>129</v>
      </c>
      <c r="B15" s="48" t="s">
        <v>126</v>
      </c>
      <c r="C15" s="48" t="s">
        <v>127</v>
      </c>
      <c r="D15" s="48" t="s">
        <v>128</v>
      </c>
      <c r="E15" s="15"/>
      <c r="F15" s="15" t="n">
        <v>46239</v>
      </c>
      <c r="G15" s="16" t="n">
        <v>200</v>
      </c>
      <c r="H15" s="17" t="n">
        <v>27</v>
      </c>
      <c r="I15" s="17" t="n">
        <v>26</v>
      </c>
      <c r="J15" s="17" t="n">
        <v>30</v>
      </c>
      <c r="K15" s="17"/>
      <c r="L15" s="16" t="n">
        <v>100</v>
      </c>
      <c r="M15" s="17" t="n">
        <v>28.5</v>
      </c>
      <c r="N15" s="16"/>
      <c r="O15" s="17"/>
      <c r="P15" s="15" t="n">
        <v>46247</v>
      </c>
      <c r="Q15" s="17" t="n">
        <v>27</v>
      </c>
      <c r="R15" s="17" t="n">
        <v>2</v>
      </c>
      <c r="S15" s="17" t="n">
        <v>26.4</v>
      </c>
      <c r="T15" s="17" t="n">
        <v>29.1</v>
      </c>
      <c r="U15" s="18" t="str">
        <f aca="false">IF(A15="","",IF(N(G15)-N(L15)-N(N15)&lt;0,"Check shares",IF(AND(P15&lt;&gt;"",Q15&lt;&gt;""),"Closed","Open")))</f>
        <v>Closed</v>
      </c>
      <c r="V15" s="19" t="n">
        <f aca="false">IF(OR(F15="",P15=""),"",NETWORKDAYS(F15,P15,Lists!$F$5:$F$40)-1)</f>
        <v>6</v>
      </c>
      <c r="W15" s="18" t="str">
        <f aca="false">IF(V15="","",IF(V15=0,"Same day","Overnight"))</f>
        <v>Overnight</v>
      </c>
      <c r="X15" s="18" t="str">
        <f aca="false">IF(OR(E15="",F15=""),"",IF(AND(E15&gt;=F15,OR(P15="",E15&lt;=P15)),"Yes","No"))</f>
        <v/>
      </c>
      <c r="Y15" s="20" t="n">
        <f aca="false">IF(A15="","",N(G15)-N(L15)-N(N15))</f>
        <v>100</v>
      </c>
      <c r="Z15" s="21" t="n">
        <f aca="false">IF(OR(G15="",H15="",I15=""),"",ABS(H15-I15)*G15)</f>
        <v>200</v>
      </c>
      <c r="AA15" s="22" t="n">
        <f aca="false">IF(OR(J15="",N(Z15)=0),"",ABS(J15-H15)/ABS(H15-I15))</f>
        <v>3</v>
      </c>
      <c r="AB15" s="23" t="n">
        <f aca="false">IF(U15&lt;&gt;"Closed","",(N(L15)*N(M15)+N(N15)*N(O15)+Y15*Q15)/G15)</f>
        <v>27.75</v>
      </c>
      <c r="AC15" s="24" t="n">
        <f aca="false">IF(U15&lt;&gt;"Closed","",IF($B15="Short",-1,1)*((N(M15)-H15)*N(L15)+(N(O15)-H15)*N(N15)+(Q15-H15)*Y15)-N(R15))</f>
        <v>148</v>
      </c>
      <c r="AD15" s="25" t="n">
        <f aca="false">IF(OR(AC15="",N(Z15)=0),"",AC15/Z15)</f>
        <v>0.74</v>
      </c>
      <c r="AE15" s="25" t="n">
        <f aca="false">IF(OR(S15="",N(Z15)=0),"",IF($B15="Short",-1,1)*(S15-H15)*G15/Z15)</f>
        <v>-0.600000000000001</v>
      </c>
      <c r="AF15" s="25" t="n">
        <f aca="false">IF(OR(T15="",N(Z15)=0),"",IF($B15="Short",-1,1)*(T15-H15)*G15/Z15)</f>
        <v>2.1</v>
      </c>
      <c r="AG15" s="21" t="str">
        <f aca="false">IF(U15&lt;&gt;"Open","",Y15*MAX(0,IF($B15="Short",-1,1)*(H15-IF(K15="",I15,K15))))</f>
        <v/>
      </c>
      <c r="AH15" s="26" t="n">
        <f aca="false">IF(U15&lt;&gt;"Closed","",DATE(YEAR(P15),MONTH(P15),1))</f>
        <v>46235</v>
      </c>
      <c r="AI15" s="19" t="n">
        <f aca="false">IF(U15&lt;&gt;"Closed","",COUNTIFS($U$7:$U$506,"Closed",$P$7:$P$506,"&lt;"&amp;P15)+COUNTIFS($U$7:U15,"Closed",$P$7:P15,P15))</f>
        <v>9</v>
      </c>
    </row>
    <row r="16" customFormat="false" ht="15" hidden="false" customHeight="false" outlineLevel="0" collapsed="false">
      <c r="A16" s="13" t="s">
        <v>143</v>
      </c>
      <c r="B16" s="48" t="s">
        <v>126</v>
      </c>
      <c r="C16" s="48" t="s">
        <v>144</v>
      </c>
      <c r="D16" s="48" t="s">
        <v>137</v>
      </c>
      <c r="E16" s="15" t="n">
        <v>46240</v>
      </c>
      <c r="F16" s="15" t="n">
        <v>46241</v>
      </c>
      <c r="G16" s="16" t="n">
        <v>100</v>
      </c>
      <c r="H16" s="17" t="n">
        <v>33</v>
      </c>
      <c r="I16" s="17" t="n">
        <v>31</v>
      </c>
      <c r="J16" s="17" t="n">
        <v>39</v>
      </c>
      <c r="K16" s="17"/>
      <c r="L16" s="16" t="n">
        <v>50</v>
      </c>
      <c r="M16" s="17" t="n">
        <v>36</v>
      </c>
      <c r="N16" s="16" t="n">
        <v>25</v>
      </c>
      <c r="O16" s="17" t="n">
        <v>38</v>
      </c>
      <c r="P16" s="15" t="n">
        <v>46255</v>
      </c>
      <c r="Q16" s="17" t="n">
        <v>37.4</v>
      </c>
      <c r="R16" s="17" t="n">
        <v>2.5</v>
      </c>
      <c r="S16" s="17" t="n">
        <v>32.2</v>
      </c>
      <c r="T16" s="17" t="n">
        <v>38.6</v>
      </c>
      <c r="U16" s="18" t="str">
        <f aca="false">IF(A16="","",IF(N(G16)-N(L16)-N(N16)&lt;0,"Check shares",IF(AND(P16&lt;&gt;"",Q16&lt;&gt;""),"Closed","Open")))</f>
        <v>Closed</v>
      </c>
      <c r="V16" s="19" t="n">
        <f aca="false">IF(OR(F16="",P16=""),"",NETWORKDAYS(F16,P16,Lists!$F$5:$F$40)-1)</f>
        <v>10</v>
      </c>
      <c r="W16" s="18" t="str">
        <f aca="false">IF(V16="","",IF(V16=0,"Same day","Overnight"))</f>
        <v>Overnight</v>
      </c>
      <c r="X16" s="18" t="str">
        <f aca="false">IF(OR(E16="",F16=""),"",IF(AND(E16&gt;=F16,OR(P16="",E16&lt;=P16)),"Yes","No"))</f>
        <v>No</v>
      </c>
      <c r="Y16" s="20" t="n">
        <f aca="false">IF(A16="","",N(G16)-N(L16)-N(N16))</f>
        <v>25</v>
      </c>
      <c r="Z16" s="21" t="n">
        <f aca="false">IF(OR(G16="",H16="",I16=""),"",ABS(H16-I16)*G16)</f>
        <v>200</v>
      </c>
      <c r="AA16" s="22" t="n">
        <f aca="false">IF(OR(J16="",N(Z16)=0),"",ABS(J16-H16)/ABS(H16-I16))</f>
        <v>3</v>
      </c>
      <c r="AB16" s="23" t="n">
        <f aca="false">IF(U16&lt;&gt;"Closed","",(N(L16)*N(M16)+N(N16)*N(O16)+Y16*Q16)/G16)</f>
        <v>36.85</v>
      </c>
      <c r="AC16" s="24" t="n">
        <f aca="false">IF(U16&lt;&gt;"Closed","",IF($B16="Short",-1,1)*((N(M16)-H16)*N(L16)+(N(O16)-H16)*N(N16)+(Q16-H16)*Y16)-N(R16))</f>
        <v>382.5</v>
      </c>
      <c r="AD16" s="25" t="n">
        <f aca="false">IF(OR(AC16="",N(Z16)=0),"",AC16/Z16)</f>
        <v>1.9125</v>
      </c>
      <c r="AE16" s="25" t="n">
        <f aca="false">IF(OR(S16="",N(Z16)=0),"",IF($B16="Short",-1,1)*(S16-H16)*G16/Z16)</f>
        <v>-0.399999999999999</v>
      </c>
      <c r="AF16" s="25" t="n">
        <f aca="false">IF(OR(T16="",N(Z16)=0),"",IF($B16="Short",-1,1)*(T16-H16)*G16/Z16)</f>
        <v>2.8</v>
      </c>
      <c r="AG16" s="21" t="str">
        <f aca="false">IF(U16&lt;&gt;"Open","",Y16*MAX(0,IF($B16="Short",-1,1)*(H16-IF(K16="",I16,K16))))</f>
        <v/>
      </c>
      <c r="AH16" s="26" t="n">
        <f aca="false">IF(U16&lt;&gt;"Closed","",DATE(YEAR(P16),MONTH(P16),1))</f>
        <v>46235</v>
      </c>
      <c r="AI16" s="19" t="n">
        <f aca="false">IF(U16&lt;&gt;"Closed","",COUNTIFS($U$7:$U$506,"Closed",$P$7:$P$506,"&lt;"&amp;P16)+COUNTIFS($U$7:U16,"Closed",$P$7:P16,P16))</f>
        <v>11</v>
      </c>
    </row>
    <row r="17" customFormat="false" ht="15" hidden="false" customHeight="false" outlineLevel="0" collapsed="false">
      <c r="A17" s="13" t="s">
        <v>131</v>
      </c>
      <c r="B17" s="48" t="s">
        <v>132</v>
      </c>
      <c r="C17" s="48" t="s">
        <v>133</v>
      </c>
      <c r="D17" s="48" t="s">
        <v>128</v>
      </c>
      <c r="E17" s="15"/>
      <c r="F17" s="15" t="n">
        <v>46246</v>
      </c>
      <c r="G17" s="16" t="n">
        <v>150</v>
      </c>
      <c r="H17" s="17" t="n">
        <v>44</v>
      </c>
      <c r="I17" s="17" t="n">
        <v>45.3</v>
      </c>
      <c r="J17" s="17" t="n">
        <v>40</v>
      </c>
      <c r="K17" s="17"/>
      <c r="L17" s="16"/>
      <c r="M17" s="17"/>
      <c r="N17" s="16"/>
      <c r="O17" s="17"/>
      <c r="P17" s="15" t="n">
        <v>46248</v>
      </c>
      <c r="Q17" s="17" t="n">
        <v>45.4</v>
      </c>
      <c r="R17" s="17" t="n">
        <v>2</v>
      </c>
      <c r="S17" s="17" t="n">
        <v>45.6</v>
      </c>
      <c r="T17" s="17" t="n">
        <v>43.5</v>
      </c>
      <c r="U17" s="18" t="str">
        <f aca="false">IF(A17="","",IF(N(G17)-N(L17)-N(N17)&lt;0,"Check shares",IF(AND(P17&lt;&gt;"",Q17&lt;&gt;""),"Closed","Open")))</f>
        <v>Closed</v>
      </c>
      <c r="V17" s="19" t="n">
        <f aca="false">IF(OR(F17="",P17=""),"",NETWORKDAYS(F17,P17,Lists!$F$5:$F$40)-1)</f>
        <v>2</v>
      </c>
      <c r="W17" s="18" t="str">
        <f aca="false">IF(V17="","",IF(V17=0,"Same day","Overnight"))</f>
        <v>Overnight</v>
      </c>
      <c r="X17" s="18" t="str">
        <f aca="false">IF(OR(E17="",F17=""),"",IF(AND(E17&gt;=F17,OR(P17="",E17&lt;=P17)),"Yes","No"))</f>
        <v/>
      </c>
      <c r="Y17" s="20" t="n">
        <f aca="false">IF(A17="","",N(G17)-N(L17)-N(N17))</f>
        <v>150</v>
      </c>
      <c r="Z17" s="21" t="n">
        <f aca="false">IF(OR(G17="",H17="",I17=""),"",ABS(H17-I17)*G17)</f>
        <v>195</v>
      </c>
      <c r="AA17" s="22" t="n">
        <f aca="false">IF(OR(J17="",N(Z17)=0),"",ABS(J17-H17)/ABS(H17-I17))</f>
        <v>3.07692307692308</v>
      </c>
      <c r="AB17" s="23" t="n">
        <f aca="false">IF(U17&lt;&gt;"Closed","",(N(L17)*N(M17)+N(N17)*N(O17)+Y17*Q17)/G17)</f>
        <v>45.4</v>
      </c>
      <c r="AC17" s="24" t="n">
        <f aca="false">IF(U17&lt;&gt;"Closed","",IF($B17="Short",-1,1)*((N(M17)-H17)*N(L17)+(N(O17)-H17)*N(N17)+(Q17-H17)*Y17)-N(R17))</f>
        <v>-212</v>
      </c>
      <c r="AD17" s="25" t="n">
        <f aca="false">IF(OR(AC17="",N(Z17)=0),"",AC17/Z17)</f>
        <v>-1.08717948717949</v>
      </c>
      <c r="AE17" s="25" t="n">
        <f aca="false">IF(OR(S17="",N(Z17)=0),"",IF($B17="Short",-1,1)*(S17-H17)*G17/Z17)</f>
        <v>-1.23076923076923</v>
      </c>
      <c r="AF17" s="25" t="n">
        <f aca="false">IF(OR(T17="",N(Z17)=0),"",IF($B17="Short",-1,1)*(T17-H17)*G17/Z17)</f>
        <v>0.384615384615385</v>
      </c>
      <c r="AG17" s="21" t="str">
        <f aca="false">IF(U17&lt;&gt;"Open","",Y17*MAX(0,IF($B17="Short",-1,1)*(H17-IF(K17="",I17,K17))))</f>
        <v/>
      </c>
      <c r="AH17" s="26" t="n">
        <f aca="false">IF(U17&lt;&gt;"Closed","",DATE(YEAR(P17),MONTH(P17),1))</f>
        <v>46235</v>
      </c>
      <c r="AI17" s="19" t="n">
        <f aca="false">IF(U17&lt;&gt;"Closed","",COUNTIFS($U$7:$U$506,"Closed",$P$7:$P$506,"&lt;"&amp;P17)+COUNTIFS($U$7:U17,"Closed",$P$7:P17,P17))</f>
        <v>10</v>
      </c>
    </row>
    <row r="18" customFormat="false" ht="15" hidden="false" customHeight="false" outlineLevel="0" collapsed="false">
      <c r="A18" s="13" t="s">
        <v>135</v>
      </c>
      <c r="B18" s="48" t="s">
        <v>126</v>
      </c>
      <c r="C18" s="48" t="s">
        <v>136</v>
      </c>
      <c r="D18" s="48" t="s">
        <v>128</v>
      </c>
      <c r="E18" s="15"/>
      <c r="F18" s="15" t="n">
        <v>46251</v>
      </c>
      <c r="G18" s="16" t="n">
        <v>100</v>
      </c>
      <c r="H18" s="17" t="n">
        <v>62</v>
      </c>
      <c r="I18" s="17" t="n">
        <v>60</v>
      </c>
      <c r="J18" s="17" t="n">
        <v>68</v>
      </c>
      <c r="K18" s="17"/>
      <c r="L18" s="16" t="n">
        <v>50</v>
      </c>
      <c r="M18" s="17" t="n">
        <v>65</v>
      </c>
      <c r="N18" s="16"/>
      <c r="O18" s="17"/>
      <c r="P18" s="15" t="n">
        <v>46262</v>
      </c>
      <c r="Q18" s="17" t="n">
        <v>66.3</v>
      </c>
      <c r="R18" s="17" t="n">
        <v>2</v>
      </c>
      <c r="S18" s="17" t="n">
        <v>61.1</v>
      </c>
      <c r="T18" s="17" t="n">
        <v>67.2</v>
      </c>
      <c r="U18" s="18" t="str">
        <f aca="false">IF(A18="","",IF(N(G18)-N(L18)-N(N18)&lt;0,"Check shares",IF(AND(P18&lt;&gt;"",Q18&lt;&gt;""),"Closed","Open")))</f>
        <v>Closed</v>
      </c>
      <c r="V18" s="19" t="n">
        <f aca="false">IF(OR(F18="",P18=""),"",NETWORKDAYS(F18,P18,Lists!$F$5:$F$40)-1)</f>
        <v>9</v>
      </c>
      <c r="W18" s="18" t="str">
        <f aca="false">IF(V18="","",IF(V18=0,"Same day","Overnight"))</f>
        <v>Overnight</v>
      </c>
      <c r="X18" s="18" t="str">
        <f aca="false">IF(OR(E18="",F18=""),"",IF(AND(E18&gt;=F18,OR(P18="",E18&lt;=P18)),"Yes","No"))</f>
        <v/>
      </c>
      <c r="Y18" s="20" t="n">
        <f aca="false">IF(A18="","",N(G18)-N(L18)-N(N18))</f>
        <v>50</v>
      </c>
      <c r="Z18" s="21" t="n">
        <f aca="false">IF(OR(G18="",H18="",I18=""),"",ABS(H18-I18)*G18)</f>
        <v>200</v>
      </c>
      <c r="AA18" s="22" t="n">
        <f aca="false">IF(OR(J18="",N(Z18)=0),"",ABS(J18-H18)/ABS(H18-I18))</f>
        <v>3</v>
      </c>
      <c r="AB18" s="23" t="n">
        <f aca="false">IF(U18&lt;&gt;"Closed","",(N(L18)*N(M18)+N(N18)*N(O18)+Y18*Q18)/G18)</f>
        <v>65.65</v>
      </c>
      <c r="AC18" s="24" t="n">
        <f aca="false">IF(U18&lt;&gt;"Closed","",IF($B18="Short",-1,1)*((N(M18)-H18)*N(L18)+(N(O18)-H18)*N(N18)+(Q18-H18)*Y18)-N(R18))</f>
        <v>363</v>
      </c>
      <c r="AD18" s="25" t="n">
        <f aca="false">IF(OR(AC18="",N(Z18)=0),"",AC18/Z18)</f>
        <v>1.815</v>
      </c>
      <c r="AE18" s="25" t="n">
        <f aca="false">IF(OR(S18="",N(Z18)=0),"",IF($B18="Short",-1,1)*(S18-H18)*G18/Z18)</f>
        <v>-0.449999999999999</v>
      </c>
      <c r="AF18" s="25" t="n">
        <f aca="false">IF(OR(T18="",N(Z18)=0),"",IF($B18="Short",-1,1)*(T18-H18)*G18/Z18)</f>
        <v>2.6</v>
      </c>
      <c r="AG18" s="21" t="str">
        <f aca="false">IF(U18&lt;&gt;"Open","",Y18*MAX(0,IF($B18="Short",-1,1)*(H18-IF(K18="",I18,K18))))</f>
        <v/>
      </c>
      <c r="AH18" s="26" t="n">
        <f aca="false">IF(U18&lt;&gt;"Closed","",DATE(YEAR(P18),MONTH(P18),1))</f>
        <v>46235</v>
      </c>
      <c r="AI18" s="19" t="n">
        <f aca="false">IF(U18&lt;&gt;"Closed","",COUNTIFS($U$7:$U$506,"Closed",$P$7:$P$506,"&lt;"&amp;P18)+COUNTIFS($U$7:U18,"Closed",$P$7:P18,P18))</f>
        <v>13</v>
      </c>
    </row>
    <row r="19" customFormat="false" ht="15" hidden="false" customHeight="false" outlineLevel="0" collapsed="false">
      <c r="A19" s="13" t="s">
        <v>138</v>
      </c>
      <c r="B19" s="48" t="s">
        <v>126</v>
      </c>
      <c r="C19" s="48" t="s">
        <v>130</v>
      </c>
      <c r="D19" s="48" t="s">
        <v>128</v>
      </c>
      <c r="E19" s="15"/>
      <c r="F19" s="15" t="n">
        <v>46258</v>
      </c>
      <c r="G19" s="16" t="n">
        <v>80</v>
      </c>
      <c r="H19" s="17" t="n">
        <v>78</v>
      </c>
      <c r="I19" s="17" t="n">
        <v>75.5</v>
      </c>
      <c r="J19" s="17" t="n">
        <v>85</v>
      </c>
      <c r="K19" s="17"/>
      <c r="L19" s="16"/>
      <c r="M19" s="17"/>
      <c r="N19" s="16"/>
      <c r="O19" s="17"/>
      <c r="P19" s="15" t="n">
        <v>46261</v>
      </c>
      <c r="Q19" s="17" t="n">
        <v>75.4</v>
      </c>
      <c r="R19" s="17" t="n">
        <v>2</v>
      </c>
      <c r="S19" s="17" t="n">
        <v>75.2</v>
      </c>
      <c r="T19" s="17" t="n">
        <v>79.3</v>
      </c>
      <c r="U19" s="18" t="str">
        <f aca="false">IF(A19="","",IF(N(G19)-N(L19)-N(N19)&lt;0,"Check shares",IF(AND(P19&lt;&gt;"",Q19&lt;&gt;""),"Closed","Open")))</f>
        <v>Closed</v>
      </c>
      <c r="V19" s="19" t="n">
        <f aca="false">IF(OR(F19="",P19=""),"",NETWORKDAYS(F19,P19,Lists!$F$5:$F$40)-1)</f>
        <v>3</v>
      </c>
      <c r="W19" s="18" t="str">
        <f aca="false">IF(V19="","",IF(V19=0,"Same day","Overnight"))</f>
        <v>Overnight</v>
      </c>
      <c r="X19" s="18" t="str">
        <f aca="false">IF(OR(E19="",F19=""),"",IF(AND(E19&gt;=F19,OR(P19="",E19&lt;=P19)),"Yes","No"))</f>
        <v/>
      </c>
      <c r="Y19" s="20" t="n">
        <f aca="false">IF(A19="","",N(G19)-N(L19)-N(N19))</f>
        <v>80</v>
      </c>
      <c r="Z19" s="21" t="n">
        <f aca="false">IF(OR(G19="",H19="",I19=""),"",ABS(H19-I19)*G19)</f>
        <v>200</v>
      </c>
      <c r="AA19" s="22" t="n">
        <f aca="false">IF(OR(J19="",N(Z19)=0),"",ABS(J19-H19)/ABS(H19-I19))</f>
        <v>2.8</v>
      </c>
      <c r="AB19" s="23" t="n">
        <f aca="false">IF(U19&lt;&gt;"Closed","",(N(L19)*N(M19)+N(N19)*N(O19)+Y19*Q19)/G19)</f>
        <v>75.4</v>
      </c>
      <c r="AC19" s="24" t="n">
        <f aca="false">IF(U19&lt;&gt;"Closed","",IF($B19="Short",-1,1)*((N(M19)-H19)*N(L19)+(N(O19)-H19)*N(N19)+(Q19-H19)*Y19)-N(R19))</f>
        <v>-210</v>
      </c>
      <c r="AD19" s="25" t="n">
        <f aca="false">IF(OR(AC19="",N(Z19)=0),"",AC19/Z19)</f>
        <v>-1.05</v>
      </c>
      <c r="AE19" s="25" t="n">
        <f aca="false">IF(OR(S19="",N(Z19)=0),"",IF($B19="Short",-1,1)*(S19-H19)*G19/Z19)</f>
        <v>-1.12</v>
      </c>
      <c r="AF19" s="25" t="n">
        <f aca="false">IF(OR(T19="",N(Z19)=0),"",IF($B19="Short",-1,1)*(T19-H19)*G19/Z19)</f>
        <v>0.519999999999999</v>
      </c>
      <c r="AG19" s="21" t="str">
        <f aca="false">IF(U19&lt;&gt;"Open","",Y19*MAX(0,IF($B19="Short",-1,1)*(H19-IF(K19="",I19,K19))))</f>
        <v/>
      </c>
      <c r="AH19" s="26" t="n">
        <f aca="false">IF(U19&lt;&gt;"Closed","",DATE(YEAR(P19),MONTH(P19),1))</f>
        <v>46235</v>
      </c>
      <c r="AI19" s="19" t="n">
        <f aca="false">IF(U19&lt;&gt;"Closed","",COUNTIFS($U$7:$U$506,"Closed",$P$7:$P$506,"&lt;"&amp;P19)+COUNTIFS($U$7:U19,"Closed",$P$7:P19,P19))</f>
        <v>12</v>
      </c>
    </row>
    <row r="20" customFormat="false" ht="15" hidden="false" customHeight="false" outlineLevel="0" collapsed="false">
      <c r="A20" s="13" t="s">
        <v>140</v>
      </c>
      <c r="B20" s="48" t="s">
        <v>126</v>
      </c>
      <c r="C20" s="48" t="s">
        <v>127</v>
      </c>
      <c r="D20" s="48" t="s">
        <v>145</v>
      </c>
      <c r="E20" s="15"/>
      <c r="F20" s="15" t="n">
        <v>46265</v>
      </c>
      <c r="G20" s="16" t="n">
        <v>250</v>
      </c>
      <c r="H20" s="17" t="n">
        <v>13</v>
      </c>
      <c r="I20" s="17" t="n">
        <v>12.2</v>
      </c>
      <c r="J20" s="17" t="n">
        <v>15.4</v>
      </c>
      <c r="K20" s="17"/>
      <c r="L20" s="16" t="n">
        <v>125</v>
      </c>
      <c r="M20" s="17" t="n">
        <v>14.2</v>
      </c>
      <c r="N20" s="16"/>
      <c r="O20" s="17"/>
      <c r="P20" s="15" t="n">
        <v>46269</v>
      </c>
      <c r="Q20" s="17" t="n">
        <v>14.6</v>
      </c>
      <c r="R20" s="17" t="n">
        <v>2</v>
      </c>
      <c r="S20" s="17" t="n">
        <v>12.7</v>
      </c>
      <c r="T20" s="17" t="n">
        <v>14.9</v>
      </c>
      <c r="U20" s="18" t="str">
        <f aca="false">IF(A20="","",IF(N(G20)-N(L20)-N(N20)&lt;0,"Check shares",IF(AND(P20&lt;&gt;"",Q20&lt;&gt;""),"Closed","Open")))</f>
        <v>Closed</v>
      </c>
      <c r="V20" s="19" t="n">
        <f aca="false">IF(OR(F20="",P20=""),"",NETWORKDAYS(F20,P20,Lists!$F$5:$F$40)-1)</f>
        <v>4</v>
      </c>
      <c r="W20" s="18" t="str">
        <f aca="false">IF(V20="","",IF(V20=0,"Same day","Overnight"))</f>
        <v>Overnight</v>
      </c>
      <c r="X20" s="18" t="str">
        <f aca="false">IF(OR(E20="",F20=""),"",IF(AND(E20&gt;=F20,OR(P20="",E20&lt;=P20)),"Yes","No"))</f>
        <v/>
      </c>
      <c r="Y20" s="20" t="n">
        <f aca="false">IF(A20="","",N(G20)-N(L20)-N(N20))</f>
        <v>125</v>
      </c>
      <c r="Z20" s="21" t="n">
        <f aca="false">IF(OR(G20="",H20="",I20=""),"",ABS(H20-I20)*G20)</f>
        <v>200</v>
      </c>
      <c r="AA20" s="22" t="n">
        <f aca="false">IF(OR(J20="",N(Z20)=0),"",ABS(J20-H20)/ABS(H20-I20))</f>
        <v>3</v>
      </c>
      <c r="AB20" s="23" t="n">
        <f aca="false">IF(U20&lt;&gt;"Closed","",(N(L20)*N(M20)+N(N20)*N(O20)+Y20*Q20)/G20)</f>
        <v>14.4</v>
      </c>
      <c r="AC20" s="24" t="n">
        <f aca="false">IF(U20&lt;&gt;"Closed","",IF($B20="Short",-1,1)*((N(M20)-H20)*N(L20)+(N(O20)-H20)*N(N20)+(Q20-H20)*Y20)-N(R20))</f>
        <v>348</v>
      </c>
      <c r="AD20" s="25" t="n">
        <f aca="false">IF(OR(AC20="",N(Z20)=0),"",AC20/Z20)</f>
        <v>1.74</v>
      </c>
      <c r="AE20" s="25" t="n">
        <f aca="false">IF(OR(S20="",N(Z20)=0),"",IF($B20="Short",-1,1)*(S20-H20)*G20/Z20)</f>
        <v>-0.375000000000001</v>
      </c>
      <c r="AF20" s="25" t="n">
        <f aca="false">IF(OR(T20="",N(Z20)=0),"",IF($B20="Short",-1,1)*(T20-H20)*G20/Z20)</f>
        <v>2.375</v>
      </c>
      <c r="AG20" s="21" t="str">
        <f aca="false">IF(U20&lt;&gt;"Open","",Y20*MAX(0,IF($B20="Short",-1,1)*(H20-IF(K20="",I20,K20))))</f>
        <v/>
      </c>
      <c r="AH20" s="26" t="n">
        <f aca="false">IF(U20&lt;&gt;"Closed","",DATE(YEAR(P20),MONTH(P20),1))</f>
        <v>46266</v>
      </c>
      <c r="AI20" s="19" t="n">
        <f aca="false">IF(U20&lt;&gt;"Closed","",COUNTIFS($U$7:$U$506,"Closed",$P$7:$P$506,"&lt;"&amp;P20)+COUNTIFS($U$7:U20,"Closed",$P$7:P20,P20))</f>
        <v>14</v>
      </c>
    </row>
    <row r="21" customFormat="false" ht="15" hidden="false" customHeight="false" outlineLevel="0" collapsed="false">
      <c r="A21" s="13" t="s">
        <v>141</v>
      </c>
      <c r="B21" s="48" t="s">
        <v>126</v>
      </c>
      <c r="C21" s="48" t="s">
        <v>139</v>
      </c>
      <c r="D21" s="48" t="s">
        <v>128</v>
      </c>
      <c r="E21" s="15"/>
      <c r="F21" s="15" t="n">
        <v>46273</v>
      </c>
      <c r="G21" s="16" t="n">
        <v>50</v>
      </c>
      <c r="H21" s="17" t="n">
        <v>96</v>
      </c>
      <c r="I21" s="17" t="n">
        <v>92</v>
      </c>
      <c r="J21" s="17" t="n">
        <v>108</v>
      </c>
      <c r="K21" s="17"/>
      <c r="L21" s="16"/>
      <c r="M21" s="17"/>
      <c r="N21" s="16"/>
      <c r="O21" s="17"/>
      <c r="P21" s="15" t="n">
        <v>46283</v>
      </c>
      <c r="Q21" s="17" t="n">
        <v>97</v>
      </c>
      <c r="R21" s="17" t="n">
        <v>2</v>
      </c>
      <c r="S21" s="17" t="n">
        <v>93.5</v>
      </c>
      <c r="T21" s="17" t="n">
        <v>101.4</v>
      </c>
      <c r="U21" s="18" t="str">
        <f aca="false">IF(A21="","",IF(N(G21)-N(L21)-N(N21)&lt;0,"Check shares",IF(AND(P21&lt;&gt;"",Q21&lt;&gt;""),"Closed","Open")))</f>
        <v>Closed</v>
      </c>
      <c r="V21" s="19" t="n">
        <f aca="false">IF(OR(F21="",P21=""),"",NETWORKDAYS(F21,P21,Lists!$F$5:$F$40)-1)</f>
        <v>8</v>
      </c>
      <c r="W21" s="18" t="str">
        <f aca="false">IF(V21="","",IF(V21=0,"Same day","Overnight"))</f>
        <v>Overnight</v>
      </c>
      <c r="X21" s="18" t="str">
        <f aca="false">IF(OR(E21="",F21=""),"",IF(AND(E21&gt;=F21,OR(P21="",E21&lt;=P21)),"Yes","No"))</f>
        <v/>
      </c>
      <c r="Y21" s="20" t="n">
        <f aca="false">IF(A21="","",N(G21)-N(L21)-N(N21))</f>
        <v>50</v>
      </c>
      <c r="Z21" s="21" t="n">
        <f aca="false">IF(OR(G21="",H21="",I21=""),"",ABS(H21-I21)*G21)</f>
        <v>200</v>
      </c>
      <c r="AA21" s="22" t="n">
        <f aca="false">IF(OR(J21="",N(Z21)=0),"",ABS(J21-H21)/ABS(H21-I21))</f>
        <v>3</v>
      </c>
      <c r="AB21" s="23" t="n">
        <f aca="false">IF(U21&lt;&gt;"Closed","",(N(L21)*N(M21)+N(N21)*N(O21)+Y21*Q21)/G21)</f>
        <v>97</v>
      </c>
      <c r="AC21" s="24" t="n">
        <f aca="false">IF(U21&lt;&gt;"Closed","",IF($B21="Short",-1,1)*((N(M21)-H21)*N(L21)+(N(O21)-H21)*N(N21)+(Q21-H21)*Y21)-N(R21))</f>
        <v>48</v>
      </c>
      <c r="AD21" s="25" t="n">
        <f aca="false">IF(OR(AC21="",N(Z21)=0),"",AC21/Z21)</f>
        <v>0.24</v>
      </c>
      <c r="AE21" s="25" t="n">
        <f aca="false">IF(OR(S21="",N(Z21)=0),"",IF($B21="Short",-1,1)*(S21-H21)*G21/Z21)</f>
        <v>-0.625</v>
      </c>
      <c r="AF21" s="25" t="n">
        <f aca="false">IF(OR(T21="",N(Z21)=0),"",IF($B21="Short",-1,1)*(T21-H21)*G21/Z21)</f>
        <v>1.35</v>
      </c>
      <c r="AG21" s="21" t="str">
        <f aca="false">IF(U21&lt;&gt;"Open","",Y21*MAX(0,IF($B21="Short",-1,1)*(H21-IF(K21="",I21,K21))))</f>
        <v/>
      </c>
      <c r="AH21" s="26" t="n">
        <f aca="false">IF(U21&lt;&gt;"Closed","",DATE(YEAR(P21),MONTH(P21),1))</f>
        <v>46266</v>
      </c>
      <c r="AI21" s="19" t="n">
        <f aca="false">IF(U21&lt;&gt;"Closed","",COUNTIFS($U$7:$U$506,"Closed",$P$7:$P$506,"&lt;"&amp;P21)+COUNTIFS($U$7:U21,"Closed",$P$7:P21,P21))</f>
        <v>15</v>
      </c>
    </row>
    <row r="22" customFormat="false" ht="15" hidden="false" customHeight="false" outlineLevel="0" collapsed="false">
      <c r="A22" s="13" t="s">
        <v>125</v>
      </c>
      <c r="B22" s="48" t="s">
        <v>126</v>
      </c>
      <c r="C22" s="48" t="s">
        <v>136</v>
      </c>
      <c r="D22" s="48" t="s">
        <v>137</v>
      </c>
      <c r="E22" s="15" t="n">
        <v>46289</v>
      </c>
      <c r="F22" s="15" t="n">
        <v>46279</v>
      </c>
      <c r="G22" s="16" t="n">
        <v>100</v>
      </c>
      <c r="H22" s="17" t="n">
        <v>58</v>
      </c>
      <c r="I22" s="17" t="n">
        <v>56</v>
      </c>
      <c r="J22" s="17" t="n">
        <v>64</v>
      </c>
      <c r="K22" s="17"/>
      <c r="L22" s="16" t="n">
        <v>50</v>
      </c>
      <c r="M22" s="17" t="n">
        <v>61</v>
      </c>
      <c r="N22" s="16"/>
      <c r="O22" s="17"/>
      <c r="P22" s="15" t="n">
        <v>46287</v>
      </c>
      <c r="Q22" s="17" t="n">
        <v>59.4</v>
      </c>
      <c r="R22" s="17" t="n">
        <v>2</v>
      </c>
      <c r="S22" s="17" t="n">
        <v>57.3</v>
      </c>
      <c r="T22" s="17" t="n">
        <v>61.8</v>
      </c>
      <c r="U22" s="18" t="str">
        <f aca="false">IF(A22="","",IF(N(G22)-N(L22)-N(N22)&lt;0,"Check shares",IF(AND(P22&lt;&gt;"",Q22&lt;&gt;""),"Closed","Open")))</f>
        <v>Closed</v>
      </c>
      <c r="V22" s="19" t="n">
        <f aca="false">IF(OR(F22="",P22=""),"",NETWORKDAYS(F22,P22,Lists!$F$5:$F$40)-1)</f>
        <v>6</v>
      </c>
      <c r="W22" s="18" t="str">
        <f aca="false">IF(V22="","",IF(V22=0,"Same day","Overnight"))</f>
        <v>Overnight</v>
      </c>
      <c r="X22" s="18" t="str">
        <f aca="false">IF(OR(E22="",F22=""),"",IF(AND(E22&gt;=F22,OR(P22="",E22&lt;=P22)),"Yes","No"))</f>
        <v>No</v>
      </c>
      <c r="Y22" s="20" t="n">
        <f aca="false">IF(A22="","",N(G22)-N(L22)-N(N22))</f>
        <v>50</v>
      </c>
      <c r="Z22" s="21" t="n">
        <f aca="false">IF(OR(G22="",H22="",I22=""),"",ABS(H22-I22)*G22)</f>
        <v>200</v>
      </c>
      <c r="AA22" s="22" t="n">
        <f aca="false">IF(OR(J22="",N(Z22)=0),"",ABS(J22-H22)/ABS(H22-I22))</f>
        <v>3</v>
      </c>
      <c r="AB22" s="23" t="n">
        <f aca="false">IF(U22&lt;&gt;"Closed","",(N(L22)*N(M22)+N(N22)*N(O22)+Y22*Q22)/G22)</f>
        <v>60.2</v>
      </c>
      <c r="AC22" s="24" t="n">
        <f aca="false">IF(U22&lt;&gt;"Closed","",IF($B22="Short",-1,1)*((N(M22)-H22)*N(L22)+(N(O22)-H22)*N(N22)+(Q22-H22)*Y22)-N(R22))</f>
        <v>218</v>
      </c>
      <c r="AD22" s="25" t="n">
        <f aca="false">IF(OR(AC22="",N(Z22)=0),"",AC22/Z22)</f>
        <v>1.09</v>
      </c>
      <c r="AE22" s="25" t="n">
        <f aca="false">IF(OR(S22="",N(Z22)=0),"",IF($B22="Short",-1,1)*(S22-H22)*G22/Z22)</f>
        <v>-0.350000000000001</v>
      </c>
      <c r="AF22" s="25" t="n">
        <f aca="false">IF(OR(T22="",N(Z22)=0),"",IF($B22="Short",-1,1)*(T22-H22)*G22/Z22)</f>
        <v>1.9</v>
      </c>
      <c r="AG22" s="21" t="str">
        <f aca="false">IF(U22&lt;&gt;"Open","",Y22*MAX(0,IF($B22="Short",-1,1)*(H22-IF(K22="",I22,K22))))</f>
        <v/>
      </c>
      <c r="AH22" s="26" t="n">
        <f aca="false">IF(U22&lt;&gt;"Closed","",DATE(YEAR(P22),MONTH(P22),1))</f>
        <v>46266</v>
      </c>
      <c r="AI22" s="19" t="n">
        <f aca="false">IF(U22&lt;&gt;"Closed","",COUNTIFS($U$7:$U$506,"Closed",$P$7:$P$506,"&lt;"&amp;P22)+COUNTIFS($U$7:U22,"Closed",$P$7:P22,P22))</f>
        <v>17</v>
      </c>
    </row>
    <row r="23" customFormat="false" ht="15" hidden="false" customHeight="false" outlineLevel="0" collapsed="false">
      <c r="A23" s="13" t="s">
        <v>143</v>
      </c>
      <c r="B23" s="48" t="s">
        <v>132</v>
      </c>
      <c r="C23" s="48" t="s">
        <v>142</v>
      </c>
      <c r="D23" s="48" t="s">
        <v>128</v>
      </c>
      <c r="E23" s="15"/>
      <c r="F23" s="15" t="n">
        <v>46281</v>
      </c>
      <c r="G23" s="16" t="n">
        <v>100</v>
      </c>
      <c r="H23" s="17" t="n">
        <v>41</v>
      </c>
      <c r="I23" s="17" t="n">
        <v>43</v>
      </c>
      <c r="J23" s="17" t="n">
        <v>35</v>
      </c>
      <c r="K23" s="17"/>
      <c r="L23" s="16"/>
      <c r="M23" s="17"/>
      <c r="N23" s="16"/>
      <c r="O23" s="17"/>
      <c r="P23" s="15" t="n">
        <v>46283</v>
      </c>
      <c r="Q23" s="17" t="n">
        <v>43.1</v>
      </c>
      <c r="R23" s="17" t="n">
        <v>2</v>
      </c>
      <c r="S23" s="17" t="n">
        <v>43.4</v>
      </c>
      <c r="T23" s="17" t="n">
        <v>40.2</v>
      </c>
      <c r="U23" s="18" t="str">
        <f aca="false">IF(A23="","",IF(N(G23)-N(L23)-N(N23)&lt;0,"Check shares",IF(AND(P23&lt;&gt;"",Q23&lt;&gt;""),"Closed","Open")))</f>
        <v>Closed</v>
      </c>
      <c r="V23" s="19" t="n">
        <f aca="false">IF(OR(F23="",P23=""),"",NETWORKDAYS(F23,P23,Lists!$F$5:$F$40)-1)</f>
        <v>2</v>
      </c>
      <c r="W23" s="18" t="str">
        <f aca="false">IF(V23="","",IF(V23=0,"Same day","Overnight"))</f>
        <v>Overnight</v>
      </c>
      <c r="X23" s="18" t="str">
        <f aca="false">IF(OR(E23="",F23=""),"",IF(AND(E23&gt;=F23,OR(P23="",E23&lt;=P23)),"Yes","No"))</f>
        <v/>
      </c>
      <c r="Y23" s="20" t="n">
        <f aca="false">IF(A23="","",N(G23)-N(L23)-N(N23))</f>
        <v>100</v>
      </c>
      <c r="Z23" s="21" t="n">
        <f aca="false">IF(OR(G23="",H23="",I23=""),"",ABS(H23-I23)*G23)</f>
        <v>200</v>
      </c>
      <c r="AA23" s="22" t="n">
        <f aca="false">IF(OR(J23="",N(Z23)=0),"",ABS(J23-H23)/ABS(H23-I23))</f>
        <v>3</v>
      </c>
      <c r="AB23" s="23" t="n">
        <f aca="false">IF(U23&lt;&gt;"Closed","",(N(L23)*N(M23)+N(N23)*N(O23)+Y23*Q23)/G23)</f>
        <v>43.1</v>
      </c>
      <c r="AC23" s="24" t="n">
        <f aca="false">IF(U23&lt;&gt;"Closed","",IF($B23="Short",-1,1)*((N(M23)-H23)*N(L23)+(N(O23)-H23)*N(N23)+(Q23-H23)*Y23)-N(R23))</f>
        <v>-212</v>
      </c>
      <c r="AD23" s="25" t="n">
        <f aca="false">IF(OR(AC23="",N(Z23)=0),"",AC23/Z23)</f>
        <v>-1.06</v>
      </c>
      <c r="AE23" s="25" t="n">
        <f aca="false">IF(OR(S23="",N(Z23)=0),"",IF($B23="Short",-1,1)*(S23-H23)*G23/Z23)</f>
        <v>-1.2</v>
      </c>
      <c r="AF23" s="25" t="n">
        <f aca="false">IF(OR(T23="",N(Z23)=0),"",IF($B23="Short",-1,1)*(T23-H23)*G23/Z23)</f>
        <v>0.399999999999999</v>
      </c>
      <c r="AG23" s="21" t="str">
        <f aca="false">IF(U23&lt;&gt;"Open","",Y23*MAX(0,IF($B23="Short",-1,1)*(H23-IF(K23="",I23,K23))))</f>
        <v/>
      </c>
      <c r="AH23" s="26" t="n">
        <f aca="false">IF(U23&lt;&gt;"Closed","",DATE(YEAR(P23),MONTH(P23),1))</f>
        <v>46266</v>
      </c>
      <c r="AI23" s="19" t="n">
        <f aca="false">IF(U23&lt;&gt;"Closed","",COUNTIFS($U$7:$U$506,"Closed",$P$7:$P$506,"&lt;"&amp;P23)+COUNTIFS($U$7:U23,"Closed",$P$7:P23,P23))</f>
        <v>16</v>
      </c>
    </row>
    <row r="24" customFormat="false" ht="15" hidden="false" customHeight="false" outlineLevel="0" collapsed="false">
      <c r="A24" s="13" t="s">
        <v>129</v>
      </c>
      <c r="B24" s="48" t="s">
        <v>126</v>
      </c>
      <c r="C24" s="48" t="s">
        <v>130</v>
      </c>
      <c r="D24" s="48" t="s">
        <v>128</v>
      </c>
      <c r="E24" s="15"/>
      <c r="F24" s="15" t="n">
        <v>46286</v>
      </c>
      <c r="G24" s="16" t="n">
        <v>200</v>
      </c>
      <c r="H24" s="17" t="n">
        <v>26</v>
      </c>
      <c r="I24" s="17" t="n">
        <v>25</v>
      </c>
      <c r="J24" s="17" t="n">
        <v>29</v>
      </c>
      <c r="K24" s="17"/>
      <c r="L24" s="16" t="n">
        <v>100</v>
      </c>
      <c r="M24" s="17" t="n">
        <v>27.5</v>
      </c>
      <c r="N24" s="16"/>
      <c r="O24" s="17"/>
      <c r="P24" s="15" t="n">
        <v>46296</v>
      </c>
      <c r="Q24" s="17" t="n">
        <v>28.8</v>
      </c>
      <c r="R24" s="17" t="n">
        <v>2</v>
      </c>
      <c r="S24" s="17" t="n">
        <v>25.4</v>
      </c>
      <c r="T24" s="17" t="n">
        <v>29.2</v>
      </c>
      <c r="U24" s="18" t="str">
        <f aca="false">IF(A24="","",IF(N(G24)-N(L24)-N(N24)&lt;0,"Check shares",IF(AND(P24&lt;&gt;"",Q24&lt;&gt;""),"Closed","Open")))</f>
        <v>Closed</v>
      </c>
      <c r="V24" s="19" t="n">
        <f aca="false">IF(OR(F24="",P24=""),"",NETWORKDAYS(F24,P24,Lists!$F$5:$F$40)-1)</f>
        <v>8</v>
      </c>
      <c r="W24" s="18" t="str">
        <f aca="false">IF(V24="","",IF(V24=0,"Same day","Overnight"))</f>
        <v>Overnight</v>
      </c>
      <c r="X24" s="18" t="str">
        <f aca="false">IF(OR(E24="",F24=""),"",IF(AND(E24&gt;=F24,OR(P24="",E24&lt;=P24)),"Yes","No"))</f>
        <v/>
      </c>
      <c r="Y24" s="20" t="n">
        <f aca="false">IF(A24="","",N(G24)-N(L24)-N(N24))</f>
        <v>100</v>
      </c>
      <c r="Z24" s="21" t="n">
        <f aca="false">IF(OR(G24="",H24="",I24=""),"",ABS(H24-I24)*G24)</f>
        <v>200</v>
      </c>
      <c r="AA24" s="22" t="n">
        <f aca="false">IF(OR(J24="",N(Z24)=0),"",ABS(J24-H24)/ABS(H24-I24))</f>
        <v>3</v>
      </c>
      <c r="AB24" s="23" t="n">
        <f aca="false">IF(U24&lt;&gt;"Closed","",(N(L24)*N(M24)+N(N24)*N(O24)+Y24*Q24)/G24)</f>
        <v>28.15</v>
      </c>
      <c r="AC24" s="24" t="n">
        <f aca="false">IF(U24&lt;&gt;"Closed","",IF($B24="Short",-1,1)*((N(M24)-H24)*N(L24)+(N(O24)-H24)*N(N24)+(Q24-H24)*Y24)-N(R24))</f>
        <v>428</v>
      </c>
      <c r="AD24" s="25" t="n">
        <f aca="false">IF(OR(AC24="",N(Z24)=0),"",AC24/Z24)</f>
        <v>2.14</v>
      </c>
      <c r="AE24" s="25" t="n">
        <f aca="false">IF(OR(S24="",N(Z24)=0),"",IF($B24="Short",-1,1)*(S24-H24)*G24/Z24)</f>
        <v>-0.600000000000001</v>
      </c>
      <c r="AF24" s="25" t="n">
        <f aca="false">IF(OR(T24="",N(Z24)=0),"",IF($B24="Short",-1,1)*(T24-H24)*G24/Z24)</f>
        <v>3.2</v>
      </c>
      <c r="AG24" s="21" t="str">
        <f aca="false">IF(U24&lt;&gt;"Open","",Y24*MAX(0,IF($B24="Short",-1,1)*(H24-IF(K24="",I24,K24))))</f>
        <v/>
      </c>
      <c r="AH24" s="26" t="n">
        <f aca="false">IF(U24&lt;&gt;"Closed","",DATE(YEAR(P24),MONTH(P24),1))</f>
        <v>46296</v>
      </c>
      <c r="AI24" s="19" t="n">
        <f aca="false">IF(U24&lt;&gt;"Closed","",COUNTIFS($U$7:$U$506,"Closed",$P$7:$P$506,"&lt;"&amp;P24)+COUNTIFS($U$7:U24,"Closed",$P$7:P24,P24))</f>
        <v>19</v>
      </c>
    </row>
    <row r="25" customFormat="false" ht="15" hidden="false" customHeight="false" outlineLevel="0" collapsed="false">
      <c r="A25" s="13" t="s">
        <v>131</v>
      </c>
      <c r="B25" s="48" t="s">
        <v>126</v>
      </c>
      <c r="C25" s="48" t="s">
        <v>127</v>
      </c>
      <c r="D25" s="48" t="s">
        <v>134</v>
      </c>
      <c r="E25" s="15"/>
      <c r="F25" s="15" t="n">
        <v>46288</v>
      </c>
      <c r="G25" s="16" t="n">
        <v>150</v>
      </c>
      <c r="H25" s="17" t="n">
        <v>42</v>
      </c>
      <c r="I25" s="17" t="n">
        <v>40.7</v>
      </c>
      <c r="J25" s="17" t="n">
        <v>46</v>
      </c>
      <c r="K25" s="17"/>
      <c r="L25" s="16"/>
      <c r="M25" s="17"/>
      <c r="N25" s="16"/>
      <c r="O25" s="17"/>
      <c r="P25" s="15" t="n">
        <v>46290</v>
      </c>
      <c r="Q25" s="17" t="n">
        <v>40.6</v>
      </c>
      <c r="R25" s="17" t="n">
        <v>2</v>
      </c>
      <c r="S25" s="17" t="n">
        <v>40.5</v>
      </c>
      <c r="T25" s="17" t="n">
        <v>42.6</v>
      </c>
      <c r="U25" s="18" t="str">
        <f aca="false">IF(A25="","",IF(N(G25)-N(L25)-N(N25)&lt;0,"Check shares",IF(AND(P25&lt;&gt;"",Q25&lt;&gt;""),"Closed","Open")))</f>
        <v>Closed</v>
      </c>
      <c r="V25" s="19" t="n">
        <f aca="false">IF(OR(F25="",P25=""),"",NETWORKDAYS(F25,P25,Lists!$F$5:$F$40)-1)</f>
        <v>2</v>
      </c>
      <c r="W25" s="18" t="str">
        <f aca="false">IF(V25="","",IF(V25=0,"Same day","Overnight"))</f>
        <v>Overnight</v>
      </c>
      <c r="X25" s="18" t="str">
        <f aca="false">IF(OR(E25="",F25=""),"",IF(AND(E25&gt;=F25,OR(P25="",E25&lt;=P25)),"Yes","No"))</f>
        <v/>
      </c>
      <c r="Y25" s="20" t="n">
        <f aca="false">IF(A25="","",N(G25)-N(L25)-N(N25))</f>
        <v>150</v>
      </c>
      <c r="Z25" s="21" t="n">
        <f aca="false">IF(OR(G25="",H25="",I25=""),"",ABS(H25-I25)*G25)</f>
        <v>195</v>
      </c>
      <c r="AA25" s="22" t="n">
        <f aca="false">IF(OR(J25="",N(Z25)=0),"",ABS(J25-H25)/ABS(H25-I25))</f>
        <v>3.07692307692308</v>
      </c>
      <c r="AB25" s="23" t="n">
        <f aca="false">IF(U25&lt;&gt;"Closed","",(N(L25)*N(M25)+N(N25)*N(O25)+Y25*Q25)/G25)</f>
        <v>40.6</v>
      </c>
      <c r="AC25" s="24" t="n">
        <f aca="false">IF(U25&lt;&gt;"Closed","",IF($B25="Short",-1,1)*((N(M25)-H25)*N(L25)+(N(O25)-H25)*N(N25)+(Q25-H25)*Y25)-N(R25))</f>
        <v>-212</v>
      </c>
      <c r="AD25" s="25" t="n">
        <f aca="false">IF(OR(AC25="",N(Z25)=0),"",AC25/Z25)</f>
        <v>-1.08717948717949</v>
      </c>
      <c r="AE25" s="25" t="n">
        <f aca="false">IF(OR(S25="",N(Z25)=0),"",IF($B25="Short",-1,1)*(S25-H25)*G25/Z25)</f>
        <v>-1.15384615384616</v>
      </c>
      <c r="AF25" s="25" t="n">
        <f aca="false">IF(OR(T25="",N(Z25)=0),"",IF($B25="Short",-1,1)*(T25-H25)*G25/Z25)</f>
        <v>0.461538461538464</v>
      </c>
      <c r="AG25" s="21" t="str">
        <f aca="false">IF(U25&lt;&gt;"Open","",Y25*MAX(0,IF($B25="Short",-1,1)*(H25-IF(K25="",I25,K25))))</f>
        <v/>
      </c>
      <c r="AH25" s="26" t="n">
        <f aca="false">IF(U25&lt;&gt;"Closed","",DATE(YEAR(P25),MONTH(P25),1))</f>
        <v>46266</v>
      </c>
      <c r="AI25" s="19" t="n">
        <f aca="false">IF(U25&lt;&gt;"Closed","",COUNTIFS($U$7:$U$506,"Closed",$P$7:$P$506,"&lt;"&amp;P25)+COUNTIFS($U$7:U25,"Closed",$P$7:P25,P25))</f>
        <v>18</v>
      </c>
    </row>
    <row r="26" customFormat="false" ht="15" hidden="false" customHeight="false" outlineLevel="0" collapsed="false">
      <c r="A26" s="13" t="s">
        <v>135</v>
      </c>
      <c r="B26" s="48" t="s">
        <v>126</v>
      </c>
      <c r="C26" s="48" t="s">
        <v>139</v>
      </c>
      <c r="D26" s="48" t="s">
        <v>128</v>
      </c>
      <c r="E26" s="15"/>
      <c r="F26" s="15" t="n">
        <v>46293</v>
      </c>
      <c r="G26" s="16" t="n">
        <v>100</v>
      </c>
      <c r="H26" s="17" t="n">
        <v>64</v>
      </c>
      <c r="I26" s="17" t="n">
        <v>62</v>
      </c>
      <c r="J26" s="17" t="n">
        <v>70</v>
      </c>
      <c r="K26" s="17"/>
      <c r="L26" s="16" t="n">
        <v>50</v>
      </c>
      <c r="M26" s="17" t="n">
        <v>67</v>
      </c>
      <c r="N26" s="16"/>
      <c r="O26" s="17"/>
      <c r="P26" s="15" t="n">
        <v>46304</v>
      </c>
      <c r="Q26" s="17" t="n">
        <v>64.1</v>
      </c>
      <c r="R26" s="17" t="n">
        <v>2</v>
      </c>
      <c r="S26" s="17" t="n">
        <v>63.2</v>
      </c>
      <c r="T26" s="17" t="n">
        <v>68.1</v>
      </c>
      <c r="U26" s="18" t="str">
        <f aca="false">IF(A26="","",IF(N(G26)-N(L26)-N(N26)&lt;0,"Check shares",IF(AND(P26&lt;&gt;"",Q26&lt;&gt;""),"Closed","Open")))</f>
        <v>Closed</v>
      </c>
      <c r="V26" s="19" t="n">
        <f aca="false">IF(OR(F26="",P26=""),"",NETWORKDAYS(F26,P26,Lists!$F$5:$F$40)-1)</f>
        <v>9</v>
      </c>
      <c r="W26" s="18" t="str">
        <f aca="false">IF(V26="","",IF(V26=0,"Same day","Overnight"))</f>
        <v>Overnight</v>
      </c>
      <c r="X26" s="18" t="str">
        <f aca="false">IF(OR(E26="",F26=""),"",IF(AND(E26&gt;=F26,OR(P26="",E26&lt;=P26)),"Yes","No"))</f>
        <v/>
      </c>
      <c r="Y26" s="20" t="n">
        <f aca="false">IF(A26="","",N(G26)-N(L26)-N(N26))</f>
        <v>50</v>
      </c>
      <c r="Z26" s="21" t="n">
        <f aca="false">IF(OR(G26="",H26="",I26=""),"",ABS(H26-I26)*G26)</f>
        <v>200</v>
      </c>
      <c r="AA26" s="22" t="n">
        <f aca="false">IF(OR(J26="",N(Z26)=0),"",ABS(J26-H26)/ABS(H26-I26))</f>
        <v>3</v>
      </c>
      <c r="AB26" s="23" t="n">
        <f aca="false">IF(U26&lt;&gt;"Closed","",(N(L26)*N(M26)+N(N26)*N(O26)+Y26*Q26)/G26)</f>
        <v>65.55</v>
      </c>
      <c r="AC26" s="24" t="n">
        <f aca="false">IF(U26&lt;&gt;"Closed","",IF($B26="Short",-1,1)*((N(M26)-H26)*N(L26)+(N(O26)-H26)*N(N26)+(Q26-H26)*Y26)-N(R26))</f>
        <v>153</v>
      </c>
      <c r="AD26" s="25" t="n">
        <f aca="false">IF(OR(AC26="",N(Z26)=0),"",AC26/Z26)</f>
        <v>0.764999999999999</v>
      </c>
      <c r="AE26" s="25" t="n">
        <f aca="false">IF(OR(S26="",N(Z26)=0),"",IF($B26="Short",-1,1)*(S26-H26)*G26/Z26)</f>
        <v>-0.399999999999999</v>
      </c>
      <c r="AF26" s="25" t="n">
        <f aca="false">IF(OR(T26="",N(Z26)=0),"",IF($B26="Short",-1,1)*(T26-H26)*G26/Z26)</f>
        <v>2.05</v>
      </c>
      <c r="AG26" s="21" t="str">
        <f aca="false">IF(U26&lt;&gt;"Open","",Y26*MAX(0,IF($B26="Short",-1,1)*(H26-IF(K26="",I26,K26))))</f>
        <v/>
      </c>
      <c r="AH26" s="26" t="n">
        <f aca="false">IF(U26&lt;&gt;"Closed","",DATE(YEAR(P26),MONTH(P26),1))</f>
        <v>46296</v>
      </c>
      <c r="AI26" s="19" t="n">
        <f aca="false">IF(U26&lt;&gt;"Closed","",COUNTIFS($U$7:$U$506,"Closed",$P$7:$P$506,"&lt;"&amp;P26)+COUNTIFS($U$7:U26,"Closed",$P$7:P26,P26))</f>
        <v>20</v>
      </c>
    </row>
    <row r="27" customFormat="false" ht="15" hidden="false" customHeight="false" outlineLevel="0" collapsed="false">
      <c r="A27" s="13" t="s">
        <v>138</v>
      </c>
      <c r="B27" s="48" t="s">
        <v>132</v>
      </c>
      <c r="C27" s="48" t="s">
        <v>133</v>
      </c>
      <c r="D27" s="48" t="s">
        <v>146</v>
      </c>
      <c r="E27" s="15"/>
      <c r="F27" s="15" t="n">
        <v>46300</v>
      </c>
      <c r="G27" s="16" t="n">
        <v>80</v>
      </c>
      <c r="H27" s="17" t="n">
        <v>84</v>
      </c>
      <c r="I27" s="17" t="n">
        <v>86.5</v>
      </c>
      <c r="J27" s="17" t="n">
        <v>77</v>
      </c>
      <c r="K27" s="17"/>
      <c r="L27" s="16" t="n">
        <v>40</v>
      </c>
      <c r="M27" s="17" t="n">
        <v>81</v>
      </c>
      <c r="N27" s="16"/>
      <c r="O27" s="17"/>
      <c r="P27" s="15" t="n">
        <v>46304</v>
      </c>
      <c r="Q27" s="17" t="n">
        <v>82.4</v>
      </c>
      <c r="R27" s="17" t="n">
        <v>2</v>
      </c>
      <c r="S27" s="17" t="n">
        <v>85.7</v>
      </c>
      <c r="T27" s="17" t="n">
        <v>80.6</v>
      </c>
      <c r="U27" s="18" t="str">
        <f aca="false">IF(A27="","",IF(N(G27)-N(L27)-N(N27)&lt;0,"Check shares",IF(AND(P27&lt;&gt;"",Q27&lt;&gt;""),"Closed","Open")))</f>
        <v>Closed</v>
      </c>
      <c r="V27" s="19" t="n">
        <f aca="false">IF(OR(F27="",P27=""),"",NETWORKDAYS(F27,P27,Lists!$F$5:$F$40)-1)</f>
        <v>4</v>
      </c>
      <c r="W27" s="18" t="str">
        <f aca="false">IF(V27="","",IF(V27=0,"Same day","Overnight"))</f>
        <v>Overnight</v>
      </c>
      <c r="X27" s="18" t="str">
        <f aca="false">IF(OR(E27="",F27=""),"",IF(AND(E27&gt;=F27,OR(P27="",E27&lt;=P27)),"Yes","No"))</f>
        <v/>
      </c>
      <c r="Y27" s="20" t="n">
        <f aca="false">IF(A27="","",N(G27)-N(L27)-N(N27))</f>
        <v>40</v>
      </c>
      <c r="Z27" s="21" t="n">
        <f aca="false">IF(OR(G27="",H27="",I27=""),"",ABS(H27-I27)*G27)</f>
        <v>200</v>
      </c>
      <c r="AA27" s="22" t="n">
        <f aca="false">IF(OR(J27="",N(Z27)=0),"",ABS(J27-H27)/ABS(H27-I27))</f>
        <v>2.8</v>
      </c>
      <c r="AB27" s="23" t="n">
        <f aca="false">IF(U27&lt;&gt;"Closed","",(N(L27)*N(M27)+N(N27)*N(O27)+Y27*Q27)/G27)</f>
        <v>81.7</v>
      </c>
      <c r="AC27" s="24" t="n">
        <f aca="false">IF(U27&lt;&gt;"Closed","",IF($B27="Short",-1,1)*((N(M27)-H27)*N(L27)+(N(O27)-H27)*N(N27)+(Q27-H27)*Y27)-N(R27))</f>
        <v>182</v>
      </c>
      <c r="AD27" s="25" t="n">
        <f aca="false">IF(OR(AC27="",N(Z27)=0),"",AC27/Z27)</f>
        <v>0.909999999999999</v>
      </c>
      <c r="AE27" s="25" t="n">
        <f aca="false">IF(OR(S27="",N(Z27)=0),"",IF($B27="Short",-1,1)*(S27-H27)*G27/Z27)</f>
        <v>-0.680000000000001</v>
      </c>
      <c r="AF27" s="25" t="n">
        <f aca="false">IF(OR(T27="",N(Z27)=0),"",IF($B27="Short",-1,1)*(T27-H27)*G27/Z27)</f>
        <v>1.36</v>
      </c>
      <c r="AG27" s="21" t="str">
        <f aca="false">IF(U27&lt;&gt;"Open","",Y27*MAX(0,IF($B27="Short",-1,1)*(H27-IF(K27="",I27,K27))))</f>
        <v/>
      </c>
      <c r="AH27" s="26" t="n">
        <f aca="false">IF(U27&lt;&gt;"Closed","",DATE(YEAR(P27),MONTH(P27),1))</f>
        <v>46296</v>
      </c>
      <c r="AI27" s="19" t="n">
        <f aca="false">IF(U27&lt;&gt;"Closed","",COUNTIFS($U$7:$U$506,"Closed",$P$7:$P$506,"&lt;"&amp;P27)+COUNTIFS($U$7:U27,"Closed",$P$7:P27,P27))</f>
        <v>21</v>
      </c>
    </row>
    <row r="28" customFormat="false" ht="15" hidden="false" customHeight="false" outlineLevel="0" collapsed="false">
      <c r="A28" s="13" t="s">
        <v>141</v>
      </c>
      <c r="B28" s="48" t="s">
        <v>126</v>
      </c>
      <c r="C28" s="48" t="s">
        <v>130</v>
      </c>
      <c r="D28" s="48" t="s">
        <v>128</v>
      </c>
      <c r="E28" s="15"/>
      <c r="F28" s="15" t="n">
        <v>46302</v>
      </c>
      <c r="G28" s="16" t="n">
        <v>50</v>
      </c>
      <c r="H28" s="17" t="n">
        <v>99</v>
      </c>
      <c r="I28" s="17" t="n">
        <v>95</v>
      </c>
      <c r="J28" s="17" t="n">
        <v>111</v>
      </c>
      <c r="K28" s="17"/>
      <c r="L28" s="16"/>
      <c r="M28" s="17"/>
      <c r="N28" s="16"/>
      <c r="O28" s="17"/>
      <c r="P28" s="15" t="n">
        <v>46311</v>
      </c>
      <c r="Q28" s="17" t="n">
        <v>94.7</v>
      </c>
      <c r="R28" s="17" t="n">
        <v>2</v>
      </c>
      <c r="S28" s="17" t="n">
        <v>94.5</v>
      </c>
      <c r="T28" s="17" t="n">
        <v>101</v>
      </c>
      <c r="U28" s="18" t="str">
        <f aca="false">IF(A28="","",IF(N(G28)-N(L28)-N(N28)&lt;0,"Check shares",IF(AND(P28&lt;&gt;"",Q28&lt;&gt;""),"Closed","Open")))</f>
        <v>Closed</v>
      </c>
      <c r="V28" s="19" t="n">
        <f aca="false">IF(OR(F28="",P28=""),"",NETWORKDAYS(F28,P28,Lists!$F$5:$F$40)-1)</f>
        <v>7</v>
      </c>
      <c r="W28" s="18" t="str">
        <f aca="false">IF(V28="","",IF(V28=0,"Same day","Overnight"))</f>
        <v>Overnight</v>
      </c>
      <c r="X28" s="18" t="str">
        <f aca="false">IF(OR(E28="",F28=""),"",IF(AND(E28&gt;=F28,OR(P28="",E28&lt;=P28)),"Yes","No"))</f>
        <v/>
      </c>
      <c r="Y28" s="20" t="n">
        <f aca="false">IF(A28="","",N(G28)-N(L28)-N(N28))</f>
        <v>50</v>
      </c>
      <c r="Z28" s="21" t="n">
        <f aca="false">IF(OR(G28="",H28="",I28=""),"",ABS(H28-I28)*G28)</f>
        <v>200</v>
      </c>
      <c r="AA28" s="22" t="n">
        <f aca="false">IF(OR(J28="",N(Z28)=0),"",ABS(J28-H28)/ABS(H28-I28))</f>
        <v>3</v>
      </c>
      <c r="AB28" s="23" t="n">
        <f aca="false">IF(U28&lt;&gt;"Closed","",(N(L28)*N(M28)+N(N28)*N(O28)+Y28*Q28)/G28)</f>
        <v>94.7</v>
      </c>
      <c r="AC28" s="24" t="n">
        <f aca="false">IF(U28&lt;&gt;"Closed","",IF($B28="Short",-1,1)*((N(M28)-H28)*N(L28)+(N(O28)-H28)*N(N28)+(Q28-H28)*Y28)-N(R28))</f>
        <v>-217</v>
      </c>
      <c r="AD28" s="25" t="n">
        <f aca="false">IF(OR(AC28="",N(Z28)=0),"",AC28/Z28)</f>
        <v>-1.085</v>
      </c>
      <c r="AE28" s="25" t="n">
        <f aca="false">IF(OR(S28="",N(Z28)=0),"",IF($B28="Short",-1,1)*(S28-H28)*G28/Z28)</f>
        <v>-1.125</v>
      </c>
      <c r="AF28" s="25" t="n">
        <f aca="false">IF(OR(T28="",N(Z28)=0),"",IF($B28="Short",-1,1)*(T28-H28)*G28/Z28)</f>
        <v>0.5</v>
      </c>
      <c r="AG28" s="21" t="str">
        <f aca="false">IF(U28&lt;&gt;"Open","",Y28*MAX(0,IF($B28="Short",-1,1)*(H28-IF(K28="",I28,K28))))</f>
        <v/>
      </c>
      <c r="AH28" s="26" t="n">
        <f aca="false">IF(U28&lt;&gt;"Closed","",DATE(YEAR(P28),MONTH(P28),1))</f>
        <v>46296</v>
      </c>
      <c r="AI28" s="19" t="n">
        <f aca="false">IF(U28&lt;&gt;"Closed","",COUNTIFS($U$7:$U$506,"Closed",$P$7:$P$506,"&lt;"&amp;P28)+COUNTIFS($U$7:U28,"Closed",$P$7:P28,P28))</f>
        <v>22</v>
      </c>
    </row>
    <row r="29" customFormat="false" ht="15" hidden="false" customHeight="false" outlineLevel="0" collapsed="false">
      <c r="A29" s="13" t="s">
        <v>140</v>
      </c>
      <c r="B29" s="48" t="s">
        <v>126</v>
      </c>
      <c r="C29" s="48" t="s">
        <v>136</v>
      </c>
      <c r="D29" s="48" t="s">
        <v>128</v>
      </c>
      <c r="E29" s="15"/>
      <c r="F29" s="15" t="n">
        <v>46307</v>
      </c>
      <c r="G29" s="16" t="n">
        <v>250</v>
      </c>
      <c r="H29" s="17" t="n">
        <v>14</v>
      </c>
      <c r="I29" s="17" t="n">
        <v>13.2</v>
      </c>
      <c r="J29" s="17" t="n">
        <v>16.4</v>
      </c>
      <c r="K29" s="17"/>
      <c r="L29" s="16" t="n">
        <v>125</v>
      </c>
      <c r="M29" s="17" t="n">
        <v>15.2</v>
      </c>
      <c r="N29" s="16"/>
      <c r="O29" s="17"/>
      <c r="P29" s="15" t="n">
        <v>46318</v>
      </c>
      <c r="Q29" s="17" t="n">
        <v>15.9</v>
      </c>
      <c r="R29" s="17" t="n">
        <v>2</v>
      </c>
      <c r="S29" s="17" t="n">
        <v>13.6</v>
      </c>
      <c r="T29" s="17" t="n">
        <v>16.1</v>
      </c>
      <c r="U29" s="18" t="str">
        <f aca="false">IF(A29="","",IF(N(G29)-N(L29)-N(N29)&lt;0,"Check shares",IF(AND(P29&lt;&gt;"",Q29&lt;&gt;""),"Closed","Open")))</f>
        <v>Closed</v>
      </c>
      <c r="V29" s="19" t="n">
        <f aca="false">IF(OR(F29="",P29=""),"",NETWORKDAYS(F29,P29,Lists!$F$5:$F$40)-1)</f>
        <v>9</v>
      </c>
      <c r="W29" s="18" t="str">
        <f aca="false">IF(V29="","",IF(V29=0,"Same day","Overnight"))</f>
        <v>Overnight</v>
      </c>
      <c r="X29" s="18" t="str">
        <f aca="false">IF(OR(E29="",F29=""),"",IF(AND(E29&gt;=F29,OR(P29="",E29&lt;=P29)),"Yes","No"))</f>
        <v/>
      </c>
      <c r="Y29" s="20" t="n">
        <f aca="false">IF(A29="","",N(G29)-N(L29)-N(N29))</f>
        <v>125</v>
      </c>
      <c r="Z29" s="21" t="n">
        <f aca="false">IF(OR(G29="",H29="",I29=""),"",ABS(H29-I29)*G29)</f>
        <v>200</v>
      </c>
      <c r="AA29" s="22" t="n">
        <f aca="false">IF(OR(J29="",N(Z29)=0),"",ABS(J29-H29)/ABS(H29-I29))</f>
        <v>3</v>
      </c>
      <c r="AB29" s="23" t="n">
        <f aca="false">IF(U29&lt;&gt;"Closed","",(N(L29)*N(M29)+N(N29)*N(O29)+Y29*Q29)/G29)</f>
        <v>15.55</v>
      </c>
      <c r="AC29" s="24" t="n">
        <f aca="false">IF(U29&lt;&gt;"Closed","",IF($B29="Short",-1,1)*((N(M29)-H29)*N(L29)+(N(O29)-H29)*N(N29)+(Q29-H29)*Y29)-N(R29))</f>
        <v>385.5</v>
      </c>
      <c r="AD29" s="25" t="n">
        <f aca="false">IF(OR(AC29="",N(Z29)=0),"",AC29/Z29)</f>
        <v>1.9275</v>
      </c>
      <c r="AE29" s="25" t="n">
        <f aca="false">IF(OR(S29="",N(Z29)=0),"",IF($B29="Short",-1,1)*(S29-H29)*G29/Z29)</f>
        <v>-0.5</v>
      </c>
      <c r="AF29" s="25" t="n">
        <f aca="false">IF(OR(T29="",N(Z29)=0),"",IF($B29="Short",-1,1)*(T29-H29)*G29/Z29)</f>
        <v>2.625</v>
      </c>
      <c r="AG29" s="21" t="str">
        <f aca="false">IF(U29&lt;&gt;"Open","",Y29*MAX(0,IF($B29="Short",-1,1)*(H29-IF(K29="",I29,K29))))</f>
        <v/>
      </c>
      <c r="AH29" s="26" t="n">
        <f aca="false">IF(U29&lt;&gt;"Closed","",DATE(YEAR(P29),MONTH(P29),1))</f>
        <v>46296</v>
      </c>
      <c r="AI29" s="19" t="n">
        <f aca="false">IF(U29&lt;&gt;"Closed","",COUNTIFS($U$7:$U$506,"Closed",$P$7:$P$506,"&lt;"&amp;P29)+COUNTIFS($U$7:U29,"Closed",$P$7:P29,P29))</f>
        <v>23</v>
      </c>
    </row>
    <row r="30" customFormat="false" ht="15" hidden="false" customHeight="false" outlineLevel="0" collapsed="false">
      <c r="A30" s="13" t="s">
        <v>143</v>
      </c>
      <c r="B30" s="48" t="s">
        <v>126</v>
      </c>
      <c r="C30" s="48" t="s">
        <v>127</v>
      </c>
      <c r="D30" s="48" t="s">
        <v>137</v>
      </c>
      <c r="E30" s="15" t="n">
        <v>46331</v>
      </c>
      <c r="F30" s="15" t="n">
        <v>46314</v>
      </c>
      <c r="G30" s="16" t="n">
        <v>100</v>
      </c>
      <c r="H30" s="17" t="n">
        <v>36</v>
      </c>
      <c r="I30" s="17" t="n">
        <v>34</v>
      </c>
      <c r="J30" s="17" t="n">
        <v>42</v>
      </c>
      <c r="K30" s="17" t="n">
        <v>35</v>
      </c>
      <c r="L30" s="16" t="n">
        <v>50</v>
      </c>
      <c r="M30" s="17" t="n">
        <v>38</v>
      </c>
      <c r="N30" s="16"/>
      <c r="O30" s="17"/>
      <c r="P30" s="15"/>
      <c r="Q30" s="17"/>
      <c r="R30" s="17"/>
      <c r="S30" s="17" t="n">
        <v>35.4</v>
      </c>
      <c r="T30" s="17" t="n">
        <v>38.7</v>
      </c>
      <c r="U30" s="18" t="str">
        <f aca="false">IF(A30="","",IF(N(G30)-N(L30)-N(N30)&lt;0,"Check shares",IF(AND(P30&lt;&gt;"",Q30&lt;&gt;""),"Closed","Open")))</f>
        <v>Open</v>
      </c>
      <c r="V30" s="19" t="str">
        <f aca="false">IF(OR(F30="",P30=""),"",NETWORKDAYS(F30,P30,Lists!$F$5:$F$40)-1)</f>
        <v/>
      </c>
      <c r="W30" s="18" t="str">
        <f aca="false">IF(V30="","",IF(V30=0,"Same day","Overnight"))</f>
        <v/>
      </c>
      <c r="X30" s="18" t="str">
        <f aca="false">IF(OR(E30="",F30=""),"",IF(AND(E30&gt;=F30,OR(P30="",E30&lt;=P30)),"Yes","No"))</f>
        <v>Yes</v>
      </c>
      <c r="Y30" s="20" t="n">
        <f aca="false">IF(A30="","",N(G30)-N(L30)-N(N30))</f>
        <v>50</v>
      </c>
      <c r="Z30" s="21" t="n">
        <f aca="false">IF(OR(G30="",H30="",I30=""),"",ABS(H30-I30)*G30)</f>
        <v>200</v>
      </c>
      <c r="AA30" s="22" t="n">
        <f aca="false">IF(OR(J30="",N(Z30)=0),"",ABS(J30-H30)/ABS(H30-I30))</f>
        <v>3</v>
      </c>
      <c r="AB30" s="23" t="str">
        <f aca="false">IF(U30&lt;&gt;"Closed","",(N(L30)*N(M30)+N(N30)*N(O30)+Y30*Q30)/G30)</f>
        <v/>
      </c>
      <c r="AC30" s="24" t="str">
        <f aca="false">IF(U30&lt;&gt;"Closed","",IF($B30="Short",-1,1)*((N(M30)-H30)*N(L30)+(N(O30)-H30)*N(N30)+(Q30-H30)*Y30)-N(R30))</f>
        <v/>
      </c>
      <c r="AD30" s="25" t="str">
        <f aca="false">IF(OR(AC30="",N(Z30)=0),"",AC30/Z30)</f>
        <v/>
      </c>
      <c r="AE30" s="25" t="n">
        <f aca="false">IF(OR(S30="",N(Z30)=0),"",IF($B30="Short",-1,1)*(S30-H30)*G30/Z30)</f>
        <v>-0.300000000000001</v>
      </c>
      <c r="AF30" s="25" t="n">
        <f aca="false">IF(OR(T30="",N(Z30)=0),"",IF($B30="Short",-1,1)*(T30-H30)*G30/Z30)</f>
        <v>1.35</v>
      </c>
      <c r="AG30" s="21" t="n">
        <f aca="false">IF(U30&lt;&gt;"Open","",Y30*MAX(0,IF($B30="Short",-1,1)*(H30-IF(K30="",I30,K30))))</f>
        <v>50</v>
      </c>
      <c r="AH30" s="26" t="str">
        <f aca="false">IF(U30&lt;&gt;"Closed","",DATE(YEAR(P30),MONTH(P30),1))</f>
        <v/>
      </c>
      <c r="AI30" s="19" t="str">
        <f aca="false">IF(U30&lt;&gt;"Closed","",COUNTIFS($U$7:$U$506,"Closed",$P$7:$P$506,"&lt;"&amp;P30)+COUNTIFS($U$7:U30,"Closed",$P$7:P30,P30))</f>
        <v/>
      </c>
    </row>
    <row r="31" customFormat="false" ht="15" hidden="false" customHeight="false" outlineLevel="0" collapsed="false">
      <c r="A31" s="13" t="s">
        <v>125</v>
      </c>
      <c r="B31" s="48" t="s">
        <v>126</v>
      </c>
      <c r="C31" s="48" t="s">
        <v>130</v>
      </c>
      <c r="D31" s="48" t="s">
        <v>128</v>
      </c>
      <c r="E31" s="15"/>
      <c r="F31" s="15" t="n">
        <v>46317</v>
      </c>
      <c r="G31" s="16" t="n">
        <v>100</v>
      </c>
      <c r="H31" s="17" t="n">
        <v>60</v>
      </c>
      <c r="I31" s="17" t="n">
        <v>58</v>
      </c>
      <c r="J31" s="17" t="n">
        <v>66</v>
      </c>
      <c r="K31" s="17"/>
      <c r="L31" s="16"/>
      <c r="M31" s="17"/>
      <c r="N31" s="16"/>
      <c r="O31" s="17"/>
      <c r="P31" s="15"/>
      <c r="Q31" s="17"/>
      <c r="R31" s="17"/>
      <c r="S31" s="17"/>
      <c r="T31" s="17"/>
      <c r="U31" s="18" t="str">
        <f aca="false">IF(A31="","",IF(N(G31)-N(L31)-N(N31)&lt;0,"Check shares",IF(AND(P31&lt;&gt;"",Q31&lt;&gt;""),"Closed","Open")))</f>
        <v>Open</v>
      </c>
      <c r="V31" s="19" t="str">
        <f aca="false">IF(OR(F31="",P31=""),"",NETWORKDAYS(F31,P31,Lists!$F$5:$F$40)-1)</f>
        <v/>
      </c>
      <c r="W31" s="18" t="str">
        <f aca="false">IF(V31="","",IF(V31=0,"Same day","Overnight"))</f>
        <v/>
      </c>
      <c r="X31" s="18" t="str">
        <f aca="false">IF(OR(E31="",F31=""),"",IF(AND(E31&gt;=F31,OR(P31="",E31&lt;=P31)),"Yes","No"))</f>
        <v/>
      </c>
      <c r="Y31" s="20" t="n">
        <f aca="false">IF(A31="","",N(G31)-N(L31)-N(N31))</f>
        <v>100</v>
      </c>
      <c r="Z31" s="21" t="n">
        <f aca="false">IF(OR(G31="",H31="",I31=""),"",ABS(H31-I31)*G31)</f>
        <v>200</v>
      </c>
      <c r="AA31" s="22" t="n">
        <f aca="false">IF(OR(J31="",N(Z31)=0),"",ABS(J31-H31)/ABS(H31-I31))</f>
        <v>3</v>
      </c>
      <c r="AB31" s="23" t="str">
        <f aca="false">IF(U31&lt;&gt;"Closed","",(N(L31)*N(M31)+N(N31)*N(O31)+Y31*Q31)/G31)</f>
        <v/>
      </c>
      <c r="AC31" s="24" t="str">
        <f aca="false">IF(U31&lt;&gt;"Closed","",IF($B31="Short",-1,1)*((N(M31)-H31)*N(L31)+(N(O31)-H31)*N(N31)+(Q31-H31)*Y31)-N(R31))</f>
        <v/>
      </c>
      <c r="AD31" s="25" t="str">
        <f aca="false">IF(OR(AC31="",N(Z31)=0),"",AC31/Z31)</f>
        <v/>
      </c>
      <c r="AE31" s="25" t="str">
        <f aca="false">IF(OR(S31="",N(Z31)=0),"",IF($B31="Short",-1,1)*(S31-H31)*G31/Z31)</f>
        <v/>
      </c>
      <c r="AF31" s="25" t="str">
        <f aca="false">IF(OR(T31="",N(Z31)=0),"",IF($B31="Short",-1,1)*(T31-H31)*G31/Z31)</f>
        <v/>
      </c>
      <c r="AG31" s="21" t="n">
        <f aca="false">IF(U31&lt;&gt;"Open","",Y31*MAX(0,IF($B31="Short",-1,1)*(H31-IF(K31="",I31,K31))))</f>
        <v>200</v>
      </c>
      <c r="AH31" s="26" t="str">
        <f aca="false">IF(U31&lt;&gt;"Closed","",DATE(YEAR(P31),MONTH(P31),1))</f>
        <v/>
      </c>
      <c r="AI31" s="19" t="str">
        <f aca="false">IF(U31&lt;&gt;"Closed","",COUNTIFS($U$7:$U$506,"Closed",$P$7:$P$506,"&lt;"&amp;P31)+COUNTIFS($U$7:U31,"Closed",$P$7:P31,P31))</f>
        <v/>
      </c>
    </row>
    <row r="32" customFormat="false" ht="15" hidden="false" customHeight="false" outlineLevel="0" collapsed="false">
      <c r="A32" s="13" t="s">
        <v>131</v>
      </c>
      <c r="B32" s="48" t="s">
        <v>132</v>
      </c>
      <c r="C32" s="48" t="s">
        <v>133</v>
      </c>
      <c r="D32" s="48" t="s">
        <v>128</v>
      </c>
      <c r="E32" s="15"/>
      <c r="F32" s="15" t="n">
        <v>46321</v>
      </c>
      <c r="G32" s="16" t="n">
        <v>150</v>
      </c>
      <c r="H32" s="17" t="n">
        <v>47</v>
      </c>
      <c r="I32" s="17" t="n">
        <v>48.3</v>
      </c>
      <c r="J32" s="17" t="n">
        <v>43</v>
      </c>
      <c r="K32" s="17" t="n">
        <v>47</v>
      </c>
      <c r="L32" s="16"/>
      <c r="M32" s="17"/>
      <c r="N32" s="16"/>
      <c r="O32" s="17"/>
      <c r="P32" s="15"/>
      <c r="Q32" s="17"/>
      <c r="R32" s="17"/>
      <c r="S32" s="17" t="n">
        <v>47.6</v>
      </c>
      <c r="T32" s="17" t="n">
        <v>45.8</v>
      </c>
      <c r="U32" s="18" t="str">
        <f aca="false">IF(A32="","",IF(N(G32)-N(L32)-N(N32)&lt;0,"Check shares",IF(AND(P32&lt;&gt;"",Q32&lt;&gt;""),"Closed","Open")))</f>
        <v>Open</v>
      </c>
      <c r="V32" s="19" t="str">
        <f aca="false">IF(OR(F32="",P32=""),"",NETWORKDAYS(F32,P32,Lists!$F$5:$F$40)-1)</f>
        <v/>
      </c>
      <c r="W32" s="18" t="str">
        <f aca="false">IF(V32="","",IF(V32=0,"Same day","Overnight"))</f>
        <v/>
      </c>
      <c r="X32" s="18" t="str">
        <f aca="false">IF(OR(E32="",F32=""),"",IF(AND(E32&gt;=F32,OR(P32="",E32&lt;=P32)),"Yes","No"))</f>
        <v/>
      </c>
      <c r="Y32" s="20" t="n">
        <f aca="false">IF(A32="","",N(G32)-N(L32)-N(N32))</f>
        <v>150</v>
      </c>
      <c r="Z32" s="21" t="n">
        <f aca="false">IF(OR(G32="",H32="",I32=""),"",ABS(H32-I32)*G32)</f>
        <v>195</v>
      </c>
      <c r="AA32" s="22" t="n">
        <f aca="false">IF(OR(J32="",N(Z32)=0),"",ABS(J32-H32)/ABS(H32-I32))</f>
        <v>3.07692307692308</v>
      </c>
      <c r="AB32" s="23" t="str">
        <f aca="false">IF(U32&lt;&gt;"Closed","",(N(L32)*N(M32)+N(N32)*N(O32)+Y32*Q32)/G32)</f>
        <v/>
      </c>
      <c r="AC32" s="24" t="str">
        <f aca="false">IF(U32&lt;&gt;"Closed","",IF($B32="Short",-1,1)*((N(M32)-H32)*N(L32)+(N(O32)-H32)*N(N32)+(Q32-H32)*Y32)-N(R32))</f>
        <v/>
      </c>
      <c r="AD32" s="25" t="str">
        <f aca="false">IF(OR(AC32="",N(Z32)=0),"",AC32/Z32)</f>
        <v/>
      </c>
      <c r="AE32" s="25" t="n">
        <f aca="false">IF(OR(S32="",N(Z32)=0),"",IF($B32="Short",-1,1)*(S32-H32)*G32/Z32)</f>
        <v>-0.461538461538464</v>
      </c>
      <c r="AF32" s="25" t="n">
        <f aca="false">IF(OR(T32="",N(Z32)=0),"",IF($B32="Short",-1,1)*(T32-H32)*G32/Z32)</f>
        <v>0.923076923076927</v>
      </c>
      <c r="AG32" s="21" t="n">
        <f aca="false">IF(U32&lt;&gt;"Open","",Y32*MAX(0,IF($B32="Short",-1,1)*(H32-IF(K32="",I32,K32))))</f>
        <v>-0</v>
      </c>
      <c r="AH32" s="26" t="str">
        <f aca="false">IF(U32&lt;&gt;"Closed","",DATE(YEAR(P32),MONTH(P32),1))</f>
        <v/>
      </c>
      <c r="AI32" s="19" t="str">
        <f aca="false">IF(U32&lt;&gt;"Closed","",COUNTIFS($U$7:$U$506,"Closed",$P$7:$P$506,"&lt;"&amp;P32)+COUNTIFS($U$7:U32,"Closed",$P$7:P32,P32))</f>
        <v/>
      </c>
    </row>
    <row r="33" customFormat="false" ht="15" hidden="false" customHeight="false" outlineLevel="0" collapsed="false">
      <c r="A33" s="13"/>
      <c r="B33" s="48"/>
      <c r="C33" s="48"/>
      <c r="D33" s="48"/>
      <c r="E33" s="15"/>
      <c r="F33" s="15"/>
      <c r="G33" s="16"/>
      <c r="H33" s="17"/>
      <c r="I33" s="17"/>
      <c r="J33" s="17"/>
      <c r="K33" s="17"/>
      <c r="L33" s="16"/>
      <c r="M33" s="17"/>
      <c r="N33" s="16"/>
      <c r="O33" s="17"/>
      <c r="P33" s="15"/>
      <c r="Q33" s="17"/>
      <c r="R33" s="17"/>
      <c r="S33" s="17"/>
      <c r="T33" s="17"/>
      <c r="U33" s="18" t="str">
        <f aca="false">IF(A33="","",IF(N(G33)-N(L33)-N(N33)&lt;0,"Check shares",IF(AND(P33&lt;&gt;"",Q33&lt;&gt;""),"Closed","Open")))</f>
        <v/>
      </c>
      <c r="V33" s="19" t="str">
        <f aca="false">IF(OR(F33="",P33=""),"",NETWORKDAYS(F33,P33,Lists!$F$5:$F$40)-1)</f>
        <v/>
      </c>
      <c r="W33" s="18" t="str">
        <f aca="false">IF(V33="","",IF(V33=0,"Same day","Overnight"))</f>
        <v/>
      </c>
      <c r="X33" s="18" t="str">
        <f aca="false">IF(OR(E33="",F33=""),"",IF(AND(E33&gt;=F33,OR(P33="",E33&lt;=P33)),"Yes","No"))</f>
        <v/>
      </c>
      <c r="Y33" s="20" t="str">
        <f aca="false">IF(A33="","",N(G33)-N(L33)-N(N33))</f>
        <v/>
      </c>
      <c r="Z33" s="21" t="str">
        <f aca="false">IF(OR(G33="",H33="",I33=""),"",ABS(H33-I33)*G33)</f>
        <v/>
      </c>
      <c r="AA33" s="22" t="str">
        <f aca="false">IF(OR(J33="",N(Z33)=0),"",ABS(J33-H33)/ABS(H33-I33))</f>
        <v/>
      </c>
      <c r="AB33" s="23" t="str">
        <f aca="false">IF(U33&lt;&gt;"Closed","",(N(L33)*N(M33)+N(N33)*N(O33)+Y33*Q33)/G33)</f>
        <v/>
      </c>
      <c r="AC33" s="24" t="str">
        <f aca="false">IF(U33&lt;&gt;"Closed","",IF($B33="Short",-1,1)*((N(M33)-H33)*N(L33)+(N(O33)-H33)*N(N33)+(Q33-H33)*Y33)-N(R33))</f>
        <v/>
      </c>
      <c r="AD33" s="25" t="str">
        <f aca="false">IF(OR(AC33="",N(Z33)=0),"",AC33/Z33)</f>
        <v/>
      </c>
      <c r="AE33" s="25" t="str">
        <f aca="false">IF(OR(S33="",N(Z33)=0),"",IF($B33="Short",-1,1)*(S33-H33)*G33/Z33)</f>
        <v/>
      </c>
      <c r="AF33" s="25" t="str">
        <f aca="false">IF(OR(T33="",N(Z33)=0),"",IF($B33="Short",-1,1)*(T33-H33)*G33/Z33)</f>
        <v/>
      </c>
      <c r="AG33" s="21" t="str">
        <f aca="false">IF(U33&lt;&gt;"Open","",Y33*MAX(0,IF($B33="Short",-1,1)*(H33-IF(K33="",I33,K33))))</f>
        <v/>
      </c>
      <c r="AH33" s="26" t="str">
        <f aca="false">IF(U33&lt;&gt;"Closed","",DATE(YEAR(P33),MONTH(P33),1))</f>
        <v/>
      </c>
      <c r="AI33" s="19" t="str">
        <f aca="false">IF(U33&lt;&gt;"Closed","",COUNTIFS($U$7:$U$506,"Closed",$P$7:$P$506,"&lt;"&amp;P33)+COUNTIFS($U$7:U33,"Closed",$P$7:P33,P33))</f>
        <v/>
      </c>
    </row>
    <row r="34" customFormat="false" ht="15" hidden="false" customHeight="false" outlineLevel="0" collapsed="false">
      <c r="A34" s="13"/>
      <c r="B34" s="48"/>
      <c r="C34" s="48"/>
      <c r="D34" s="48"/>
      <c r="E34" s="15"/>
      <c r="F34" s="15"/>
      <c r="G34" s="16"/>
      <c r="H34" s="17"/>
      <c r="I34" s="17"/>
      <c r="J34" s="17"/>
      <c r="K34" s="17"/>
      <c r="L34" s="16"/>
      <c r="M34" s="17"/>
      <c r="N34" s="16"/>
      <c r="O34" s="17"/>
      <c r="P34" s="15"/>
      <c r="Q34" s="17"/>
      <c r="R34" s="17"/>
      <c r="S34" s="17"/>
      <c r="T34" s="17"/>
      <c r="U34" s="18" t="str">
        <f aca="false">IF(A34="","",IF(N(G34)-N(L34)-N(N34)&lt;0,"Check shares",IF(AND(P34&lt;&gt;"",Q34&lt;&gt;""),"Closed","Open")))</f>
        <v/>
      </c>
      <c r="V34" s="19" t="str">
        <f aca="false">IF(OR(F34="",P34=""),"",NETWORKDAYS(F34,P34,Lists!$F$5:$F$40)-1)</f>
        <v/>
      </c>
      <c r="W34" s="18" t="str">
        <f aca="false">IF(V34="","",IF(V34=0,"Same day","Overnight"))</f>
        <v/>
      </c>
      <c r="X34" s="18" t="str">
        <f aca="false">IF(OR(E34="",F34=""),"",IF(AND(E34&gt;=F34,OR(P34="",E34&lt;=P34)),"Yes","No"))</f>
        <v/>
      </c>
      <c r="Y34" s="20" t="str">
        <f aca="false">IF(A34="","",N(G34)-N(L34)-N(N34))</f>
        <v/>
      </c>
      <c r="Z34" s="21" t="str">
        <f aca="false">IF(OR(G34="",H34="",I34=""),"",ABS(H34-I34)*G34)</f>
        <v/>
      </c>
      <c r="AA34" s="22" t="str">
        <f aca="false">IF(OR(J34="",N(Z34)=0),"",ABS(J34-H34)/ABS(H34-I34))</f>
        <v/>
      </c>
      <c r="AB34" s="23" t="str">
        <f aca="false">IF(U34&lt;&gt;"Closed","",(N(L34)*N(M34)+N(N34)*N(O34)+Y34*Q34)/G34)</f>
        <v/>
      </c>
      <c r="AC34" s="24" t="str">
        <f aca="false">IF(U34&lt;&gt;"Closed","",IF($B34="Short",-1,1)*((N(M34)-H34)*N(L34)+(N(O34)-H34)*N(N34)+(Q34-H34)*Y34)-N(R34))</f>
        <v/>
      </c>
      <c r="AD34" s="25" t="str">
        <f aca="false">IF(OR(AC34="",N(Z34)=0),"",AC34/Z34)</f>
        <v/>
      </c>
      <c r="AE34" s="25" t="str">
        <f aca="false">IF(OR(S34="",N(Z34)=0),"",IF($B34="Short",-1,1)*(S34-H34)*G34/Z34)</f>
        <v/>
      </c>
      <c r="AF34" s="25" t="str">
        <f aca="false">IF(OR(T34="",N(Z34)=0),"",IF($B34="Short",-1,1)*(T34-H34)*G34/Z34)</f>
        <v/>
      </c>
      <c r="AG34" s="21" t="str">
        <f aca="false">IF(U34&lt;&gt;"Open","",Y34*MAX(0,IF($B34="Short",-1,1)*(H34-IF(K34="",I34,K34))))</f>
        <v/>
      </c>
      <c r="AH34" s="26" t="str">
        <f aca="false">IF(U34&lt;&gt;"Closed","",DATE(YEAR(P34),MONTH(P34),1))</f>
        <v/>
      </c>
      <c r="AI34" s="19" t="str">
        <f aca="false">IF(U34&lt;&gt;"Closed","",COUNTIFS($U$7:$U$506,"Closed",$P$7:$P$506,"&lt;"&amp;P34)+COUNTIFS($U$7:U34,"Closed",$P$7:P34,P34))</f>
        <v/>
      </c>
    </row>
    <row r="35" customFormat="false" ht="15" hidden="false" customHeight="false" outlineLevel="0" collapsed="false">
      <c r="A35" s="13"/>
      <c r="B35" s="48"/>
      <c r="C35" s="48"/>
      <c r="D35" s="48"/>
      <c r="E35" s="15"/>
      <c r="F35" s="15"/>
      <c r="G35" s="16"/>
      <c r="H35" s="17"/>
      <c r="I35" s="17"/>
      <c r="J35" s="17"/>
      <c r="K35" s="17"/>
      <c r="L35" s="16"/>
      <c r="M35" s="17"/>
      <c r="N35" s="16"/>
      <c r="O35" s="17"/>
      <c r="P35" s="15"/>
      <c r="Q35" s="17"/>
      <c r="R35" s="17"/>
      <c r="S35" s="17"/>
      <c r="T35" s="17"/>
      <c r="U35" s="18" t="str">
        <f aca="false">IF(A35="","",IF(N(G35)-N(L35)-N(N35)&lt;0,"Check shares",IF(AND(P35&lt;&gt;"",Q35&lt;&gt;""),"Closed","Open")))</f>
        <v/>
      </c>
      <c r="V35" s="19" t="str">
        <f aca="false">IF(OR(F35="",P35=""),"",NETWORKDAYS(F35,P35,Lists!$F$5:$F$40)-1)</f>
        <v/>
      </c>
      <c r="W35" s="18" t="str">
        <f aca="false">IF(V35="","",IF(V35=0,"Same day","Overnight"))</f>
        <v/>
      </c>
      <c r="X35" s="18" t="str">
        <f aca="false">IF(OR(E35="",F35=""),"",IF(AND(E35&gt;=F35,OR(P35="",E35&lt;=P35)),"Yes","No"))</f>
        <v/>
      </c>
      <c r="Y35" s="20" t="str">
        <f aca="false">IF(A35="","",N(G35)-N(L35)-N(N35))</f>
        <v/>
      </c>
      <c r="Z35" s="21" t="str">
        <f aca="false">IF(OR(G35="",H35="",I35=""),"",ABS(H35-I35)*G35)</f>
        <v/>
      </c>
      <c r="AA35" s="22" t="str">
        <f aca="false">IF(OR(J35="",N(Z35)=0),"",ABS(J35-H35)/ABS(H35-I35))</f>
        <v/>
      </c>
      <c r="AB35" s="23" t="str">
        <f aca="false">IF(U35&lt;&gt;"Closed","",(N(L35)*N(M35)+N(N35)*N(O35)+Y35*Q35)/G35)</f>
        <v/>
      </c>
      <c r="AC35" s="24" t="str">
        <f aca="false">IF(U35&lt;&gt;"Closed","",IF($B35="Short",-1,1)*((N(M35)-H35)*N(L35)+(N(O35)-H35)*N(N35)+(Q35-H35)*Y35)-N(R35))</f>
        <v/>
      </c>
      <c r="AD35" s="25" t="str">
        <f aca="false">IF(OR(AC35="",N(Z35)=0),"",AC35/Z35)</f>
        <v/>
      </c>
      <c r="AE35" s="25" t="str">
        <f aca="false">IF(OR(S35="",N(Z35)=0),"",IF($B35="Short",-1,1)*(S35-H35)*G35/Z35)</f>
        <v/>
      </c>
      <c r="AF35" s="25" t="str">
        <f aca="false">IF(OR(T35="",N(Z35)=0),"",IF($B35="Short",-1,1)*(T35-H35)*G35/Z35)</f>
        <v/>
      </c>
      <c r="AG35" s="21" t="str">
        <f aca="false">IF(U35&lt;&gt;"Open","",Y35*MAX(0,IF($B35="Short",-1,1)*(H35-IF(K35="",I35,K35))))</f>
        <v/>
      </c>
      <c r="AH35" s="26" t="str">
        <f aca="false">IF(U35&lt;&gt;"Closed","",DATE(YEAR(P35),MONTH(P35),1))</f>
        <v/>
      </c>
      <c r="AI35" s="19" t="str">
        <f aca="false">IF(U35&lt;&gt;"Closed","",COUNTIFS($U$7:$U$506,"Closed",$P$7:$P$506,"&lt;"&amp;P35)+COUNTIFS($U$7:U35,"Closed",$P$7:P35,P35))</f>
        <v/>
      </c>
    </row>
    <row r="36" customFormat="false" ht="15" hidden="false" customHeight="false" outlineLevel="0" collapsed="false">
      <c r="A36" s="13"/>
      <c r="B36" s="48"/>
      <c r="C36" s="48"/>
      <c r="D36" s="48"/>
      <c r="E36" s="15"/>
      <c r="F36" s="15"/>
      <c r="G36" s="16"/>
      <c r="H36" s="17"/>
      <c r="I36" s="17"/>
      <c r="J36" s="17"/>
      <c r="K36" s="17"/>
      <c r="L36" s="16"/>
      <c r="M36" s="17"/>
      <c r="N36" s="16"/>
      <c r="O36" s="17"/>
      <c r="P36" s="15"/>
      <c r="Q36" s="17"/>
      <c r="R36" s="17"/>
      <c r="S36" s="17"/>
      <c r="T36" s="17"/>
      <c r="U36" s="18" t="str">
        <f aca="false">IF(A36="","",IF(N(G36)-N(L36)-N(N36)&lt;0,"Check shares",IF(AND(P36&lt;&gt;"",Q36&lt;&gt;""),"Closed","Open")))</f>
        <v/>
      </c>
      <c r="V36" s="19" t="str">
        <f aca="false">IF(OR(F36="",P36=""),"",NETWORKDAYS(F36,P36,Lists!$F$5:$F$40)-1)</f>
        <v/>
      </c>
      <c r="W36" s="18" t="str">
        <f aca="false">IF(V36="","",IF(V36=0,"Same day","Overnight"))</f>
        <v/>
      </c>
      <c r="X36" s="18" t="str">
        <f aca="false">IF(OR(E36="",F36=""),"",IF(AND(E36&gt;=F36,OR(P36="",E36&lt;=P36)),"Yes","No"))</f>
        <v/>
      </c>
      <c r="Y36" s="20" t="str">
        <f aca="false">IF(A36="","",N(G36)-N(L36)-N(N36))</f>
        <v/>
      </c>
      <c r="Z36" s="21" t="str">
        <f aca="false">IF(OR(G36="",H36="",I36=""),"",ABS(H36-I36)*G36)</f>
        <v/>
      </c>
      <c r="AA36" s="22" t="str">
        <f aca="false">IF(OR(J36="",N(Z36)=0),"",ABS(J36-H36)/ABS(H36-I36))</f>
        <v/>
      </c>
      <c r="AB36" s="23" t="str">
        <f aca="false">IF(U36&lt;&gt;"Closed","",(N(L36)*N(M36)+N(N36)*N(O36)+Y36*Q36)/G36)</f>
        <v/>
      </c>
      <c r="AC36" s="24" t="str">
        <f aca="false">IF(U36&lt;&gt;"Closed","",IF($B36="Short",-1,1)*((N(M36)-H36)*N(L36)+(N(O36)-H36)*N(N36)+(Q36-H36)*Y36)-N(R36))</f>
        <v/>
      </c>
      <c r="AD36" s="25" t="str">
        <f aca="false">IF(OR(AC36="",N(Z36)=0),"",AC36/Z36)</f>
        <v/>
      </c>
      <c r="AE36" s="25" t="str">
        <f aca="false">IF(OR(S36="",N(Z36)=0),"",IF($B36="Short",-1,1)*(S36-H36)*G36/Z36)</f>
        <v/>
      </c>
      <c r="AF36" s="25" t="str">
        <f aca="false">IF(OR(T36="",N(Z36)=0),"",IF($B36="Short",-1,1)*(T36-H36)*G36/Z36)</f>
        <v/>
      </c>
      <c r="AG36" s="21" t="str">
        <f aca="false">IF(U36&lt;&gt;"Open","",Y36*MAX(0,IF($B36="Short",-1,1)*(H36-IF(K36="",I36,K36))))</f>
        <v/>
      </c>
      <c r="AH36" s="26" t="str">
        <f aca="false">IF(U36&lt;&gt;"Closed","",DATE(YEAR(P36),MONTH(P36),1))</f>
        <v/>
      </c>
      <c r="AI36" s="19" t="str">
        <f aca="false">IF(U36&lt;&gt;"Closed","",COUNTIFS($U$7:$U$506,"Closed",$P$7:$P$506,"&lt;"&amp;P36)+COUNTIFS($U$7:U36,"Closed",$P$7:P36,P36))</f>
        <v/>
      </c>
    </row>
    <row r="37" customFormat="false" ht="15" hidden="false" customHeight="false" outlineLevel="0" collapsed="false">
      <c r="A37" s="13"/>
      <c r="B37" s="48"/>
      <c r="C37" s="48"/>
      <c r="D37" s="48"/>
      <c r="E37" s="15"/>
      <c r="F37" s="15"/>
      <c r="G37" s="16"/>
      <c r="H37" s="17"/>
      <c r="I37" s="17"/>
      <c r="J37" s="17"/>
      <c r="K37" s="17"/>
      <c r="L37" s="16"/>
      <c r="M37" s="17"/>
      <c r="N37" s="16"/>
      <c r="O37" s="17"/>
      <c r="P37" s="15"/>
      <c r="Q37" s="17"/>
      <c r="R37" s="17"/>
      <c r="S37" s="17"/>
      <c r="T37" s="17"/>
      <c r="U37" s="18" t="str">
        <f aca="false">IF(A37="","",IF(N(G37)-N(L37)-N(N37)&lt;0,"Check shares",IF(AND(P37&lt;&gt;"",Q37&lt;&gt;""),"Closed","Open")))</f>
        <v/>
      </c>
      <c r="V37" s="19" t="str">
        <f aca="false">IF(OR(F37="",P37=""),"",NETWORKDAYS(F37,P37,Lists!$F$5:$F$40)-1)</f>
        <v/>
      </c>
      <c r="W37" s="18" t="str">
        <f aca="false">IF(V37="","",IF(V37=0,"Same day","Overnight"))</f>
        <v/>
      </c>
      <c r="X37" s="18" t="str">
        <f aca="false">IF(OR(E37="",F37=""),"",IF(AND(E37&gt;=F37,OR(P37="",E37&lt;=P37)),"Yes","No"))</f>
        <v/>
      </c>
      <c r="Y37" s="20" t="str">
        <f aca="false">IF(A37="","",N(G37)-N(L37)-N(N37))</f>
        <v/>
      </c>
      <c r="Z37" s="21" t="str">
        <f aca="false">IF(OR(G37="",H37="",I37=""),"",ABS(H37-I37)*G37)</f>
        <v/>
      </c>
      <c r="AA37" s="22" t="str">
        <f aca="false">IF(OR(J37="",N(Z37)=0),"",ABS(J37-H37)/ABS(H37-I37))</f>
        <v/>
      </c>
      <c r="AB37" s="23" t="str">
        <f aca="false">IF(U37&lt;&gt;"Closed","",(N(L37)*N(M37)+N(N37)*N(O37)+Y37*Q37)/G37)</f>
        <v/>
      </c>
      <c r="AC37" s="24" t="str">
        <f aca="false">IF(U37&lt;&gt;"Closed","",IF($B37="Short",-1,1)*((N(M37)-H37)*N(L37)+(N(O37)-H37)*N(N37)+(Q37-H37)*Y37)-N(R37))</f>
        <v/>
      </c>
      <c r="AD37" s="25" t="str">
        <f aca="false">IF(OR(AC37="",N(Z37)=0),"",AC37/Z37)</f>
        <v/>
      </c>
      <c r="AE37" s="25" t="str">
        <f aca="false">IF(OR(S37="",N(Z37)=0),"",IF($B37="Short",-1,1)*(S37-H37)*G37/Z37)</f>
        <v/>
      </c>
      <c r="AF37" s="25" t="str">
        <f aca="false">IF(OR(T37="",N(Z37)=0),"",IF($B37="Short",-1,1)*(T37-H37)*G37/Z37)</f>
        <v/>
      </c>
      <c r="AG37" s="21" t="str">
        <f aca="false">IF(U37&lt;&gt;"Open","",Y37*MAX(0,IF($B37="Short",-1,1)*(H37-IF(K37="",I37,K37))))</f>
        <v/>
      </c>
      <c r="AH37" s="26" t="str">
        <f aca="false">IF(U37&lt;&gt;"Closed","",DATE(YEAR(P37),MONTH(P37),1))</f>
        <v/>
      </c>
      <c r="AI37" s="19" t="str">
        <f aca="false">IF(U37&lt;&gt;"Closed","",COUNTIFS($U$7:$U$506,"Closed",$P$7:$P$506,"&lt;"&amp;P37)+COUNTIFS($U$7:U37,"Closed",$P$7:P37,P37))</f>
        <v/>
      </c>
    </row>
    <row r="38" customFormat="false" ht="15" hidden="false" customHeight="false" outlineLevel="0" collapsed="false">
      <c r="A38" s="13"/>
      <c r="B38" s="48"/>
      <c r="C38" s="48"/>
      <c r="D38" s="48"/>
      <c r="E38" s="15"/>
      <c r="F38" s="15"/>
      <c r="G38" s="16"/>
      <c r="H38" s="17"/>
      <c r="I38" s="17"/>
      <c r="J38" s="17"/>
      <c r="K38" s="17"/>
      <c r="L38" s="16"/>
      <c r="M38" s="17"/>
      <c r="N38" s="16"/>
      <c r="O38" s="17"/>
      <c r="P38" s="15"/>
      <c r="Q38" s="17"/>
      <c r="R38" s="17"/>
      <c r="S38" s="17"/>
      <c r="T38" s="17"/>
      <c r="U38" s="18" t="str">
        <f aca="false">IF(A38="","",IF(N(G38)-N(L38)-N(N38)&lt;0,"Check shares",IF(AND(P38&lt;&gt;"",Q38&lt;&gt;""),"Closed","Open")))</f>
        <v/>
      </c>
      <c r="V38" s="19" t="str">
        <f aca="false">IF(OR(F38="",P38=""),"",NETWORKDAYS(F38,P38,Lists!$F$5:$F$40)-1)</f>
        <v/>
      </c>
      <c r="W38" s="18" t="str">
        <f aca="false">IF(V38="","",IF(V38=0,"Same day","Overnight"))</f>
        <v/>
      </c>
      <c r="X38" s="18" t="str">
        <f aca="false">IF(OR(E38="",F38=""),"",IF(AND(E38&gt;=F38,OR(P38="",E38&lt;=P38)),"Yes","No"))</f>
        <v/>
      </c>
      <c r="Y38" s="20" t="str">
        <f aca="false">IF(A38="","",N(G38)-N(L38)-N(N38))</f>
        <v/>
      </c>
      <c r="Z38" s="21" t="str">
        <f aca="false">IF(OR(G38="",H38="",I38=""),"",ABS(H38-I38)*G38)</f>
        <v/>
      </c>
      <c r="AA38" s="22" t="str">
        <f aca="false">IF(OR(J38="",N(Z38)=0),"",ABS(J38-H38)/ABS(H38-I38))</f>
        <v/>
      </c>
      <c r="AB38" s="23" t="str">
        <f aca="false">IF(U38&lt;&gt;"Closed","",(N(L38)*N(M38)+N(N38)*N(O38)+Y38*Q38)/G38)</f>
        <v/>
      </c>
      <c r="AC38" s="24" t="str">
        <f aca="false">IF(U38&lt;&gt;"Closed","",IF($B38="Short",-1,1)*((N(M38)-H38)*N(L38)+(N(O38)-H38)*N(N38)+(Q38-H38)*Y38)-N(R38))</f>
        <v/>
      </c>
      <c r="AD38" s="25" t="str">
        <f aca="false">IF(OR(AC38="",N(Z38)=0),"",AC38/Z38)</f>
        <v/>
      </c>
      <c r="AE38" s="25" t="str">
        <f aca="false">IF(OR(S38="",N(Z38)=0),"",IF($B38="Short",-1,1)*(S38-H38)*G38/Z38)</f>
        <v/>
      </c>
      <c r="AF38" s="25" t="str">
        <f aca="false">IF(OR(T38="",N(Z38)=0),"",IF($B38="Short",-1,1)*(T38-H38)*G38/Z38)</f>
        <v/>
      </c>
      <c r="AG38" s="21" t="str">
        <f aca="false">IF(U38&lt;&gt;"Open","",Y38*MAX(0,IF($B38="Short",-1,1)*(H38-IF(K38="",I38,K38))))</f>
        <v/>
      </c>
      <c r="AH38" s="26" t="str">
        <f aca="false">IF(U38&lt;&gt;"Closed","",DATE(YEAR(P38),MONTH(P38),1))</f>
        <v/>
      </c>
      <c r="AI38" s="19" t="str">
        <f aca="false">IF(U38&lt;&gt;"Closed","",COUNTIFS($U$7:$U$506,"Closed",$P$7:$P$506,"&lt;"&amp;P38)+COUNTIFS($U$7:U38,"Closed",$P$7:P38,P38))</f>
        <v/>
      </c>
    </row>
    <row r="39" customFormat="false" ht="15" hidden="false" customHeight="false" outlineLevel="0" collapsed="false">
      <c r="A39" s="13"/>
      <c r="B39" s="48"/>
      <c r="C39" s="48"/>
      <c r="D39" s="48"/>
      <c r="E39" s="15"/>
      <c r="F39" s="15"/>
      <c r="G39" s="16"/>
      <c r="H39" s="17"/>
      <c r="I39" s="17"/>
      <c r="J39" s="17"/>
      <c r="K39" s="17"/>
      <c r="L39" s="16"/>
      <c r="M39" s="17"/>
      <c r="N39" s="16"/>
      <c r="O39" s="17"/>
      <c r="P39" s="15"/>
      <c r="Q39" s="17"/>
      <c r="R39" s="17"/>
      <c r="S39" s="17"/>
      <c r="T39" s="17"/>
      <c r="U39" s="18" t="str">
        <f aca="false">IF(A39="","",IF(N(G39)-N(L39)-N(N39)&lt;0,"Check shares",IF(AND(P39&lt;&gt;"",Q39&lt;&gt;""),"Closed","Open")))</f>
        <v/>
      </c>
      <c r="V39" s="19" t="str">
        <f aca="false">IF(OR(F39="",P39=""),"",NETWORKDAYS(F39,P39,Lists!$F$5:$F$40)-1)</f>
        <v/>
      </c>
      <c r="W39" s="18" t="str">
        <f aca="false">IF(V39="","",IF(V39=0,"Same day","Overnight"))</f>
        <v/>
      </c>
      <c r="X39" s="18" t="str">
        <f aca="false">IF(OR(E39="",F39=""),"",IF(AND(E39&gt;=F39,OR(P39="",E39&lt;=P39)),"Yes","No"))</f>
        <v/>
      </c>
      <c r="Y39" s="20" t="str">
        <f aca="false">IF(A39="","",N(G39)-N(L39)-N(N39))</f>
        <v/>
      </c>
      <c r="Z39" s="21" t="str">
        <f aca="false">IF(OR(G39="",H39="",I39=""),"",ABS(H39-I39)*G39)</f>
        <v/>
      </c>
      <c r="AA39" s="22" t="str">
        <f aca="false">IF(OR(J39="",N(Z39)=0),"",ABS(J39-H39)/ABS(H39-I39))</f>
        <v/>
      </c>
      <c r="AB39" s="23" t="str">
        <f aca="false">IF(U39&lt;&gt;"Closed","",(N(L39)*N(M39)+N(N39)*N(O39)+Y39*Q39)/G39)</f>
        <v/>
      </c>
      <c r="AC39" s="24" t="str">
        <f aca="false">IF(U39&lt;&gt;"Closed","",IF($B39="Short",-1,1)*((N(M39)-H39)*N(L39)+(N(O39)-H39)*N(N39)+(Q39-H39)*Y39)-N(R39))</f>
        <v/>
      </c>
      <c r="AD39" s="25" t="str">
        <f aca="false">IF(OR(AC39="",N(Z39)=0),"",AC39/Z39)</f>
        <v/>
      </c>
      <c r="AE39" s="25" t="str">
        <f aca="false">IF(OR(S39="",N(Z39)=0),"",IF($B39="Short",-1,1)*(S39-H39)*G39/Z39)</f>
        <v/>
      </c>
      <c r="AF39" s="25" t="str">
        <f aca="false">IF(OR(T39="",N(Z39)=0),"",IF($B39="Short",-1,1)*(T39-H39)*G39/Z39)</f>
        <v/>
      </c>
      <c r="AG39" s="21" t="str">
        <f aca="false">IF(U39&lt;&gt;"Open","",Y39*MAX(0,IF($B39="Short",-1,1)*(H39-IF(K39="",I39,K39))))</f>
        <v/>
      </c>
      <c r="AH39" s="26" t="str">
        <f aca="false">IF(U39&lt;&gt;"Closed","",DATE(YEAR(P39),MONTH(P39),1))</f>
        <v/>
      </c>
      <c r="AI39" s="19" t="str">
        <f aca="false">IF(U39&lt;&gt;"Closed","",COUNTIFS($U$7:$U$506,"Closed",$P$7:$P$506,"&lt;"&amp;P39)+COUNTIFS($U$7:U39,"Closed",$P$7:P39,P39))</f>
        <v/>
      </c>
    </row>
    <row r="40" customFormat="false" ht="15" hidden="false" customHeight="false" outlineLevel="0" collapsed="false">
      <c r="A40" s="13"/>
      <c r="B40" s="48"/>
      <c r="C40" s="48"/>
      <c r="D40" s="48"/>
      <c r="E40" s="15"/>
      <c r="F40" s="15"/>
      <c r="G40" s="16"/>
      <c r="H40" s="17"/>
      <c r="I40" s="17"/>
      <c r="J40" s="17"/>
      <c r="K40" s="17"/>
      <c r="L40" s="16"/>
      <c r="M40" s="17"/>
      <c r="N40" s="16"/>
      <c r="O40" s="17"/>
      <c r="P40" s="15"/>
      <c r="Q40" s="17"/>
      <c r="R40" s="17"/>
      <c r="S40" s="17"/>
      <c r="T40" s="17"/>
      <c r="U40" s="18" t="str">
        <f aca="false">IF(A40="","",IF(N(G40)-N(L40)-N(N40)&lt;0,"Check shares",IF(AND(P40&lt;&gt;"",Q40&lt;&gt;""),"Closed","Open")))</f>
        <v/>
      </c>
      <c r="V40" s="19" t="str">
        <f aca="false">IF(OR(F40="",P40=""),"",NETWORKDAYS(F40,P40,Lists!$F$5:$F$40)-1)</f>
        <v/>
      </c>
      <c r="W40" s="18" t="str">
        <f aca="false">IF(V40="","",IF(V40=0,"Same day","Overnight"))</f>
        <v/>
      </c>
      <c r="X40" s="18" t="str">
        <f aca="false">IF(OR(E40="",F40=""),"",IF(AND(E40&gt;=F40,OR(P40="",E40&lt;=P40)),"Yes","No"))</f>
        <v/>
      </c>
      <c r="Y40" s="20" t="str">
        <f aca="false">IF(A40="","",N(G40)-N(L40)-N(N40))</f>
        <v/>
      </c>
      <c r="Z40" s="21" t="str">
        <f aca="false">IF(OR(G40="",H40="",I40=""),"",ABS(H40-I40)*G40)</f>
        <v/>
      </c>
      <c r="AA40" s="22" t="str">
        <f aca="false">IF(OR(J40="",N(Z40)=0),"",ABS(J40-H40)/ABS(H40-I40))</f>
        <v/>
      </c>
      <c r="AB40" s="23" t="str">
        <f aca="false">IF(U40&lt;&gt;"Closed","",(N(L40)*N(M40)+N(N40)*N(O40)+Y40*Q40)/G40)</f>
        <v/>
      </c>
      <c r="AC40" s="24" t="str">
        <f aca="false">IF(U40&lt;&gt;"Closed","",IF($B40="Short",-1,1)*((N(M40)-H40)*N(L40)+(N(O40)-H40)*N(N40)+(Q40-H40)*Y40)-N(R40))</f>
        <v/>
      </c>
      <c r="AD40" s="25" t="str">
        <f aca="false">IF(OR(AC40="",N(Z40)=0),"",AC40/Z40)</f>
        <v/>
      </c>
      <c r="AE40" s="25" t="str">
        <f aca="false">IF(OR(S40="",N(Z40)=0),"",IF($B40="Short",-1,1)*(S40-H40)*G40/Z40)</f>
        <v/>
      </c>
      <c r="AF40" s="25" t="str">
        <f aca="false">IF(OR(T40="",N(Z40)=0),"",IF($B40="Short",-1,1)*(T40-H40)*G40/Z40)</f>
        <v/>
      </c>
      <c r="AG40" s="21" t="str">
        <f aca="false">IF(U40&lt;&gt;"Open","",Y40*MAX(0,IF($B40="Short",-1,1)*(H40-IF(K40="",I40,K40))))</f>
        <v/>
      </c>
      <c r="AH40" s="26" t="str">
        <f aca="false">IF(U40&lt;&gt;"Closed","",DATE(YEAR(P40),MONTH(P40),1))</f>
        <v/>
      </c>
      <c r="AI40" s="19" t="str">
        <f aca="false">IF(U40&lt;&gt;"Closed","",COUNTIFS($U$7:$U$506,"Closed",$P$7:$P$506,"&lt;"&amp;P40)+COUNTIFS($U$7:U40,"Closed",$P$7:P40,P40))</f>
        <v/>
      </c>
    </row>
    <row r="41" customFormat="false" ht="15" hidden="false" customHeight="false" outlineLevel="0" collapsed="false">
      <c r="A41" s="13"/>
      <c r="B41" s="48"/>
      <c r="C41" s="48"/>
      <c r="D41" s="48"/>
      <c r="E41" s="15"/>
      <c r="F41" s="15"/>
      <c r="G41" s="16"/>
      <c r="H41" s="17"/>
      <c r="I41" s="17"/>
      <c r="J41" s="17"/>
      <c r="K41" s="17"/>
      <c r="L41" s="16"/>
      <c r="M41" s="17"/>
      <c r="N41" s="16"/>
      <c r="O41" s="17"/>
      <c r="P41" s="15"/>
      <c r="Q41" s="17"/>
      <c r="R41" s="17"/>
      <c r="S41" s="17"/>
      <c r="T41" s="17"/>
      <c r="U41" s="18" t="str">
        <f aca="false">IF(A41="","",IF(N(G41)-N(L41)-N(N41)&lt;0,"Check shares",IF(AND(P41&lt;&gt;"",Q41&lt;&gt;""),"Closed","Open")))</f>
        <v/>
      </c>
      <c r="V41" s="19" t="str">
        <f aca="false">IF(OR(F41="",P41=""),"",NETWORKDAYS(F41,P41,Lists!$F$5:$F$40)-1)</f>
        <v/>
      </c>
      <c r="W41" s="18" t="str">
        <f aca="false">IF(V41="","",IF(V41=0,"Same day","Overnight"))</f>
        <v/>
      </c>
      <c r="X41" s="18" t="str">
        <f aca="false">IF(OR(E41="",F41=""),"",IF(AND(E41&gt;=F41,OR(P41="",E41&lt;=P41)),"Yes","No"))</f>
        <v/>
      </c>
      <c r="Y41" s="20" t="str">
        <f aca="false">IF(A41="","",N(G41)-N(L41)-N(N41))</f>
        <v/>
      </c>
      <c r="Z41" s="21" t="str">
        <f aca="false">IF(OR(G41="",H41="",I41=""),"",ABS(H41-I41)*G41)</f>
        <v/>
      </c>
      <c r="AA41" s="22" t="str">
        <f aca="false">IF(OR(J41="",N(Z41)=0),"",ABS(J41-H41)/ABS(H41-I41))</f>
        <v/>
      </c>
      <c r="AB41" s="23" t="str">
        <f aca="false">IF(U41&lt;&gt;"Closed","",(N(L41)*N(M41)+N(N41)*N(O41)+Y41*Q41)/G41)</f>
        <v/>
      </c>
      <c r="AC41" s="24" t="str">
        <f aca="false">IF(U41&lt;&gt;"Closed","",IF($B41="Short",-1,1)*((N(M41)-H41)*N(L41)+(N(O41)-H41)*N(N41)+(Q41-H41)*Y41)-N(R41))</f>
        <v/>
      </c>
      <c r="AD41" s="25" t="str">
        <f aca="false">IF(OR(AC41="",N(Z41)=0),"",AC41/Z41)</f>
        <v/>
      </c>
      <c r="AE41" s="25" t="str">
        <f aca="false">IF(OR(S41="",N(Z41)=0),"",IF($B41="Short",-1,1)*(S41-H41)*G41/Z41)</f>
        <v/>
      </c>
      <c r="AF41" s="25" t="str">
        <f aca="false">IF(OR(T41="",N(Z41)=0),"",IF($B41="Short",-1,1)*(T41-H41)*G41/Z41)</f>
        <v/>
      </c>
      <c r="AG41" s="21" t="str">
        <f aca="false">IF(U41&lt;&gt;"Open","",Y41*MAX(0,IF($B41="Short",-1,1)*(H41-IF(K41="",I41,K41))))</f>
        <v/>
      </c>
      <c r="AH41" s="26" t="str">
        <f aca="false">IF(U41&lt;&gt;"Closed","",DATE(YEAR(P41),MONTH(P41),1))</f>
        <v/>
      </c>
      <c r="AI41" s="19" t="str">
        <f aca="false">IF(U41&lt;&gt;"Closed","",COUNTIFS($U$7:$U$506,"Closed",$P$7:$P$506,"&lt;"&amp;P41)+COUNTIFS($U$7:U41,"Closed",$P$7:P41,P41))</f>
        <v/>
      </c>
    </row>
    <row r="42" customFormat="false" ht="15" hidden="false" customHeight="false" outlineLevel="0" collapsed="false">
      <c r="A42" s="13"/>
      <c r="B42" s="48"/>
      <c r="C42" s="48"/>
      <c r="D42" s="48"/>
      <c r="E42" s="15"/>
      <c r="F42" s="15"/>
      <c r="G42" s="16"/>
      <c r="H42" s="17"/>
      <c r="I42" s="17"/>
      <c r="J42" s="17"/>
      <c r="K42" s="17"/>
      <c r="L42" s="16"/>
      <c r="M42" s="17"/>
      <c r="N42" s="16"/>
      <c r="O42" s="17"/>
      <c r="P42" s="15"/>
      <c r="Q42" s="17"/>
      <c r="R42" s="17"/>
      <c r="S42" s="17"/>
      <c r="T42" s="17"/>
      <c r="U42" s="18" t="str">
        <f aca="false">IF(A42="","",IF(N(G42)-N(L42)-N(N42)&lt;0,"Check shares",IF(AND(P42&lt;&gt;"",Q42&lt;&gt;""),"Closed","Open")))</f>
        <v/>
      </c>
      <c r="V42" s="19" t="str">
        <f aca="false">IF(OR(F42="",P42=""),"",NETWORKDAYS(F42,P42,Lists!$F$5:$F$40)-1)</f>
        <v/>
      </c>
      <c r="W42" s="18" t="str">
        <f aca="false">IF(V42="","",IF(V42=0,"Same day","Overnight"))</f>
        <v/>
      </c>
      <c r="X42" s="18" t="str">
        <f aca="false">IF(OR(E42="",F42=""),"",IF(AND(E42&gt;=F42,OR(P42="",E42&lt;=P42)),"Yes","No"))</f>
        <v/>
      </c>
      <c r="Y42" s="20" t="str">
        <f aca="false">IF(A42="","",N(G42)-N(L42)-N(N42))</f>
        <v/>
      </c>
      <c r="Z42" s="21" t="str">
        <f aca="false">IF(OR(G42="",H42="",I42=""),"",ABS(H42-I42)*G42)</f>
        <v/>
      </c>
      <c r="AA42" s="22" t="str">
        <f aca="false">IF(OR(J42="",N(Z42)=0),"",ABS(J42-H42)/ABS(H42-I42))</f>
        <v/>
      </c>
      <c r="AB42" s="23" t="str">
        <f aca="false">IF(U42&lt;&gt;"Closed","",(N(L42)*N(M42)+N(N42)*N(O42)+Y42*Q42)/G42)</f>
        <v/>
      </c>
      <c r="AC42" s="24" t="str">
        <f aca="false">IF(U42&lt;&gt;"Closed","",IF($B42="Short",-1,1)*((N(M42)-H42)*N(L42)+(N(O42)-H42)*N(N42)+(Q42-H42)*Y42)-N(R42))</f>
        <v/>
      </c>
      <c r="AD42" s="25" t="str">
        <f aca="false">IF(OR(AC42="",N(Z42)=0),"",AC42/Z42)</f>
        <v/>
      </c>
      <c r="AE42" s="25" t="str">
        <f aca="false">IF(OR(S42="",N(Z42)=0),"",IF($B42="Short",-1,1)*(S42-H42)*G42/Z42)</f>
        <v/>
      </c>
      <c r="AF42" s="25" t="str">
        <f aca="false">IF(OR(T42="",N(Z42)=0),"",IF($B42="Short",-1,1)*(T42-H42)*G42/Z42)</f>
        <v/>
      </c>
      <c r="AG42" s="21" t="str">
        <f aca="false">IF(U42&lt;&gt;"Open","",Y42*MAX(0,IF($B42="Short",-1,1)*(H42-IF(K42="",I42,K42))))</f>
        <v/>
      </c>
      <c r="AH42" s="26" t="str">
        <f aca="false">IF(U42&lt;&gt;"Closed","",DATE(YEAR(P42),MONTH(P42),1))</f>
        <v/>
      </c>
      <c r="AI42" s="19" t="str">
        <f aca="false">IF(U42&lt;&gt;"Closed","",COUNTIFS($U$7:$U$506,"Closed",$P$7:$P$506,"&lt;"&amp;P42)+COUNTIFS($U$7:U42,"Closed",$P$7:P42,P42))</f>
        <v/>
      </c>
    </row>
    <row r="43" customFormat="false" ht="15" hidden="false" customHeight="false" outlineLevel="0" collapsed="false">
      <c r="A43" s="13"/>
      <c r="B43" s="48"/>
      <c r="C43" s="48"/>
      <c r="D43" s="48"/>
      <c r="E43" s="15"/>
      <c r="F43" s="15"/>
      <c r="G43" s="16"/>
      <c r="H43" s="17"/>
      <c r="I43" s="17"/>
      <c r="J43" s="17"/>
      <c r="K43" s="17"/>
      <c r="L43" s="16"/>
      <c r="M43" s="17"/>
      <c r="N43" s="16"/>
      <c r="O43" s="17"/>
      <c r="P43" s="15"/>
      <c r="Q43" s="17"/>
      <c r="R43" s="17"/>
      <c r="S43" s="17"/>
      <c r="T43" s="17"/>
      <c r="U43" s="18" t="str">
        <f aca="false">IF(A43="","",IF(N(G43)-N(L43)-N(N43)&lt;0,"Check shares",IF(AND(P43&lt;&gt;"",Q43&lt;&gt;""),"Closed","Open")))</f>
        <v/>
      </c>
      <c r="V43" s="19" t="str">
        <f aca="false">IF(OR(F43="",P43=""),"",NETWORKDAYS(F43,P43,Lists!$F$5:$F$40)-1)</f>
        <v/>
      </c>
      <c r="W43" s="18" t="str">
        <f aca="false">IF(V43="","",IF(V43=0,"Same day","Overnight"))</f>
        <v/>
      </c>
      <c r="X43" s="18" t="str">
        <f aca="false">IF(OR(E43="",F43=""),"",IF(AND(E43&gt;=F43,OR(P43="",E43&lt;=P43)),"Yes","No"))</f>
        <v/>
      </c>
      <c r="Y43" s="20" t="str">
        <f aca="false">IF(A43="","",N(G43)-N(L43)-N(N43))</f>
        <v/>
      </c>
      <c r="Z43" s="21" t="str">
        <f aca="false">IF(OR(G43="",H43="",I43=""),"",ABS(H43-I43)*G43)</f>
        <v/>
      </c>
      <c r="AA43" s="22" t="str">
        <f aca="false">IF(OR(J43="",N(Z43)=0),"",ABS(J43-H43)/ABS(H43-I43))</f>
        <v/>
      </c>
      <c r="AB43" s="23" t="str">
        <f aca="false">IF(U43&lt;&gt;"Closed","",(N(L43)*N(M43)+N(N43)*N(O43)+Y43*Q43)/G43)</f>
        <v/>
      </c>
      <c r="AC43" s="24" t="str">
        <f aca="false">IF(U43&lt;&gt;"Closed","",IF($B43="Short",-1,1)*((N(M43)-H43)*N(L43)+(N(O43)-H43)*N(N43)+(Q43-H43)*Y43)-N(R43))</f>
        <v/>
      </c>
      <c r="AD43" s="25" t="str">
        <f aca="false">IF(OR(AC43="",N(Z43)=0),"",AC43/Z43)</f>
        <v/>
      </c>
      <c r="AE43" s="25" t="str">
        <f aca="false">IF(OR(S43="",N(Z43)=0),"",IF($B43="Short",-1,1)*(S43-H43)*G43/Z43)</f>
        <v/>
      </c>
      <c r="AF43" s="25" t="str">
        <f aca="false">IF(OR(T43="",N(Z43)=0),"",IF($B43="Short",-1,1)*(T43-H43)*G43/Z43)</f>
        <v/>
      </c>
      <c r="AG43" s="21" t="str">
        <f aca="false">IF(U43&lt;&gt;"Open","",Y43*MAX(0,IF($B43="Short",-1,1)*(H43-IF(K43="",I43,K43))))</f>
        <v/>
      </c>
      <c r="AH43" s="26" t="str">
        <f aca="false">IF(U43&lt;&gt;"Closed","",DATE(YEAR(P43),MONTH(P43),1))</f>
        <v/>
      </c>
      <c r="AI43" s="19" t="str">
        <f aca="false">IF(U43&lt;&gt;"Closed","",COUNTIFS($U$7:$U$506,"Closed",$P$7:$P$506,"&lt;"&amp;P43)+COUNTIFS($U$7:U43,"Closed",$P$7:P43,P43))</f>
        <v/>
      </c>
    </row>
    <row r="44" customFormat="false" ht="15" hidden="false" customHeight="false" outlineLevel="0" collapsed="false">
      <c r="A44" s="13"/>
      <c r="B44" s="48"/>
      <c r="C44" s="48"/>
      <c r="D44" s="48"/>
      <c r="E44" s="15"/>
      <c r="F44" s="15"/>
      <c r="G44" s="16"/>
      <c r="H44" s="17"/>
      <c r="I44" s="17"/>
      <c r="J44" s="17"/>
      <c r="K44" s="17"/>
      <c r="L44" s="16"/>
      <c r="M44" s="17"/>
      <c r="N44" s="16"/>
      <c r="O44" s="17"/>
      <c r="P44" s="15"/>
      <c r="Q44" s="17"/>
      <c r="R44" s="17"/>
      <c r="S44" s="17"/>
      <c r="T44" s="17"/>
      <c r="U44" s="18" t="str">
        <f aca="false">IF(A44="","",IF(N(G44)-N(L44)-N(N44)&lt;0,"Check shares",IF(AND(P44&lt;&gt;"",Q44&lt;&gt;""),"Closed","Open")))</f>
        <v/>
      </c>
      <c r="V44" s="19" t="str">
        <f aca="false">IF(OR(F44="",P44=""),"",NETWORKDAYS(F44,P44,Lists!$F$5:$F$40)-1)</f>
        <v/>
      </c>
      <c r="W44" s="18" t="str">
        <f aca="false">IF(V44="","",IF(V44=0,"Same day","Overnight"))</f>
        <v/>
      </c>
      <c r="X44" s="18" t="str">
        <f aca="false">IF(OR(E44="",F44=""),"",IF(AND(E44&gt;=F44,OR(P44="",E44&lt;=P44)),"Yes","No"))</f>
        <v/>
      </c>
      <c r="Y44" s="20" t="str">
        <f aca="false">IF(A44="","",N(G44)-N(L44)-N(N44))</f>
        <v/>
      </c>
      <c r="Z44" s="21" t="str">
        <f aca="false">IF(OR(G44="",H44="",I44=""),"",ABS(H44-I44)*G44)</f>
        <v/>
      </c>
      <c r="AA44" s="22" t="str">
        <f aca="false">IF(OR(J44="",N(Z44)=0),"",ABS(J44-H44)/ABS(H44-I44))</f>
        <v/>
      </c>
      <c r="AB44" s="23" t="str">
        <f aca="false">IF(U44&lt;&gt;"Closed","",(N(L44)*N(M44)+N(N44)*N(O44)+Y44*Q44)/G44)</f>
        <v/>
      </c>
      <c r="AC44" s="24" t="str">
        <f aca="false">IF(U44&lt;&gt;"Closed","",IF($B44="Short",-1,1)*((N(M44)-H44)*N(L44)+(N(O44)-H44)*N(N44)+(Q44-H44)*Y44)-N(R44))</f>
        <v/>
      </c>
      <c r="AD44" s="25" t="str">
        <f aca="false">IF(OR(AC44="",N(Z44)=0),"",AC44/Z44)</f>
        <v/>
      </c>
      <c r="AE44" s="25" t="str">
        <f aca="false">IF(OR(S44="",N(Z44)=0),"",IF($B44="Short",-1,1)*(S44-H44)*G44/Z44)</f>
        <v/>
      </c>
      <c r="AF44" s="25" t="str">
        <f aca="false">IF(OR(T44="",N(Z44)=0),"",IF($B44="Short",-1,1)*(T44-H44)*G44/Z44)</f>
        <v/>
      </c>
      <c r="AG44" s="21" t="str">
        <f aca="false">IF(U44&lt;&gt;"Open","",Y44*MAX(0,IF($B44="Short",-1,1)*(H44-IF(K44="",I44,K44))))</f>
        <v/>
      </c>
      <c r="AH44" s="26" t="str">
        <f aca="false">IF(U44&lt;&gt;"Closed","",DATE(YEAR(P44),MONTH(P44),1))</f>
        <v/>
      </c>
      <c r="AI44" s="19" t="str">
        <f aca="false">IF(U44&lt;&gt;"Closed","",COUNTIFS($U$7:$U$506,"Closed",$P$7:$P$506,"&lt;"&amp;P44)+COUNTIFS($U$7:U44,"Closed",$P$7:P44,P44))</f>
        <v/>
      </c>
    </row>
    <row r="45" customFormat="false" ht="15" hidden="false" customHeight="false" outlineLevel="0" collapsed="false">
      <c r="A45" s="13"/>
      <c r="B45" s="48"/>
      <c r="C45" s="48"/>
      <c r="D45" s="48"/>
      <c r="E45" s="15"/>
      <c r="F45" s="15"/>
      <c r="G45" s="16"/>
      <c r="H45" s="17"/>
      <c r="I45" s="17"/>
      <c r="J45" s="17"/>
      <c r="K45" s="17"/>
      <c r="L45" s="16"/>
      <c r="M45" s="17"/>
      <c r="N45" s="16"/>
      <c r="O45" s="17"/>
      <c r="P45" s="15"/>
      <c r="Q45" s="17"/>
      <c r="R45" s="17"/>
      <c r="S45" s="17"/>
      <c r="T45" s="17"/>
      <c r="U45" s="18" t="str">
        <f aca="false">IF(A45="","",IF(N(G45)-N(L45)-N(N45)&lt;0,"Check shares",IF(AND(P45&lt;&gt;"",Q45&lt;&gt;""),"Closed","Open")))</f>
        <v/>
      </c>
      <c r="V45" s="19" t="str">
        <f aca="false">IF(OR(F45="",P45=""),"",NETWORKDAYS(F45,P45,Lists!$F$5:$F$40)-1)</f>
        <v/>
      </c>
      <c r="W45" s="18" t="str">
        <f aca="false">IF(V45="","",IF(V45=0,"Same day","Overnight"))</f>
        <v/>
      </c>
      <c r="X45" s="18" t="str">
        <f aca="false">IF(OR(E45="",F45=""),"",IF(AND(E45&gt;=F45,OR(P45="",E45&lt;=P45)),"Yes","No"))</f>
        <v/>
      </c>
      <c r="Y45" s="20" t="str">
        <f aca="false">IF(A45="","",N(G45)-N(L45)-N(N45))</f>
        <v/>
      </c>
      <c r="Z45" s="21" t="str">
        <f aca="false">IF(OR(G45="",H45="",I45=""),"",ABS(H45-I45)*G45)</f>
        <v/>
      </c>
      <c r="AA45" s="22" t="str">
        <f aca="false">IF(OR(J45="",N(Z45)=0),"",ABS(J45-H45)/ABS(H45-I45))</f>
        <v/>
      </c>
      <c r="AB45" s="23" t="str">
        <f aca="false">IF(U45&lt;&gt;"Closed","",(N(L45)*N(M45)+N(N45)*N(O45)+Y45*Q45)/G45)</f>
        <v/>
      </c>
      <c r="AC45" s="24" t="str">
        <f aca="false">IF(U45&lt;&gt;"Closed","",IF($B45="Short",-1,1)*((N(M45)-H45)*N(L45)+(N(O45)-H45)*N(N45)+(Q45-H45)*Y45)-N(R45))</f>
        <v/>
      </c>
      <c r="AD45" s="25" t="str">
        <f aca="false">IF(OR(AC45="",N(Z45)=0),"",AC45/Z45)</f>
        <v/>
      </c>
      <c r="AE45" s="25" t="str">
        <f aca="false">IF(OR(S45="",N(Z45)=0),"",IF($B45="Short",-1,1)*(S45-H45)*G45/Z45)</f>
        <v/>
      </c>
      <c r="AF45" s="25" t="str">
        <f aca="false">IF(OR(T45="",N(Z45)=0),"",IF($B45="Short",-1,1)*(T45-H45)*G45/Z45)</f>
        <v/>
      </c>
      <c r="AG45" s="21" t="str">
        <f aca="false">IF(U45&lt;&gt;"Open","",Y45*MAX(0,IF($B45="Short",-1,1)*(H45-IF(K45="",I45,K45))))</f>
        <v/>
      </c>
      <c r="AH45" s="26" t="str">
        <f aca="false">IF(U45&lt;&gt;"Closed","",DATE(YEAR(P45),MONTH(P45),1))</f>
        <v/>
      </c>
      <c r="AI45" s="19" t="str">
        <f aca="false">IF(U45&lt;&gt;"Closed","",COUNTIFS($U$7:$U$506,"Closed",$P$7:$P$506,"&lt;"&amp;P45)+COUNTIFS($U$7:U45,"Closed",$P$7:P45,P45))</f>
        <v/>
      </c>
    </row>
    <row r="46" customFormat="false" ht="15" hidden="false" customHeight="false" outlineLevel="0" collapsed="false">
      <c r="A46" s="13"/>
      <c r="B46" s="48"/>
      <c r="C46" s="48"/>
      <c r="D46" s="48"/>
      <c r="E46" s="15"/>
      <c r="F46" s="15"/>
      <c r="G46" s="16"/>
      <c r="H46" s="17"/>
      <c r="I46" s="17"/>
      <c r="J46" s="17"/>
      <c r="K46" s="17"/>
      <c r="L46" s="16"/>
      <c r="M46" s="17"/>
      <c r="N46" s="16"/>
      <c r="O46" s="17"/>
      <c r="P46" s="15"/>
      <c r="Q46" s="17"/>
      <c r="R46" s="17"/>
      <c r="S46" s="17"/>
      <c r="T46" s="17"/>
      <c r="U46" s="18" t="str">
        <f aca="false">IF(A46="","",IF(N(G46)-N(L46)-N(N46)&lt;0,"Check shares",IF(AND(P46&lt;&gt;"",Q46&lt;&gt;""),"Closed","Open")))</f>
        <v/>
      </c>
      <c r="V46" s="19" t="str">
        <f aca="false">IF(OR(F46="",P46=""),"",NETWORKDAYS(F46,P46,Lists!$F$5:$F$40)-1)</f>
        <v/>
      </c>
      <c r="W46" s="18" t="str">
        <f aca="false">IF(V46="","",IF(V46=0,"Same day","Overnight"))</f>
        <v/>
      </c>
      <c r="X46" s="18" t="str">
        <f aca="false">IF(OR(E46="",F46=""),"",IF(AND(E46&gt;=F46,OR(P46="",E46&lt;=P46)),"Yes","No"))</f>
        <v/>
      </c>
      <c r="Y46" s="20" t="str">
        <f aca="false">IF(A46="","",N(G46)-N(L46)-N(N46))</f>
        <v/>
      </c>
      <c r="Z46" s="21" t="str">
        <f aca="false">IF(OR(G46="",H46="",I46=""),"",ABS(H46-I46)*G46)</f>
        <v/>
      </c>
      <c r="AA46" s="22" t="str">
        <f aca="false">IF(OR(J46="",N(Z46)=0),"",ABS(J46-H46)/ABS(H46-I46))</f>
        <v/>
      </c>
      <c r="AB46" s="23" t="str">
        <f aca="false">IF(U46&lt;&gt;"Closed","",(N(L46)*N(M46)+N(N46)*N(O46)+Y46*Q46)/G46)</f>
        <v/>
      </c>
      <c r="AC46" s="24" t="str">
        <f aca="false">IF(U46&lt;&gt;"Closed","",IF($B46="Short",-1,1)*((N(M46)-H46)*N(L46)+(N(O46)-H46)*N(N46)+(Q46-H46)*Y46)-N(R46))</f>
        <v/>
      </c>
      <c r="AD46" s="25" t="str">
        <f aca="false">IF(OR(AC46="",N(Z46)=0),"",AC46/Z46)</f>
        <v/>
      </c>
      <c r="AE46" s="25" t="str">
        <f aca="false">IF(OR(S46="",N(Z46)=0),"",IF($B46="Short",-1,1)*(S46-H46)*G46/Z46)</f>
        <v/>
      </c>
      <c r="AF46" s="25" t="str">
        <f aca="false">IF(OR(T46="",N(Z46)=0),"",IF($B46="Short",-1,1)*(T46-H46)*G46/Z46)</f>
        <v/>
      </c>
      <c r="AG46" s="21" t="str">
        <f aca="false">IF(U46&lt;&gt;"Open","",Y46*MAX(0,IF($B46="Short",-1,1)*(H46-IF(K46="",I46,K46))))</f>
        <v/>
      </c>
      <c r="AH46" s="26" t="str">
        <f aca="false">IF(U46&lt;&gt;"Closed","",DATE(YEAR(P46),MONTH(P46),1))</f>
        <v/>
      </c>
      <c r="AI46" s="19" t="str">
        <f aca="false">IF(U46&lt;&gt;"Closed","",COUNTIFS($U$7:$U$506,"Closed",$P$7:$P$506,"&lt;"&amp;P46)+COUNTIFS($U$7:U46,"Closed",$P$7:P46,P46))</f>
        <v/>
      </c>
    </row>
    <row r="47" customFormat="false" ht="15" hidden="false" customHeight="false" outlineLevel="0" collapsed="false">
      <c r="A47" s="13"/>
      <c r="B47" s="48"/>
      <c r="C47" s="48"/>
      <c r="D47" s="48"/>
      <c r="E47" s="15"/>
      <c r="F47" s="15"/>
      <c r="G47" s="16"/>
      <c r="H47" s="17"/>
      <c r="I47" s="17"/>
      <c r="J47" s="17"/>
      <c r="K47" s="17"/>
      <c r="L47" s="16"/>
      <c r="M47" s="17"/>
      <c r="N47" s="16"/>
      <c r="O47" s="17"/>
      <c r="P47" s="15"/>
      <c r="Q47" s="17"/>
      <c r="R47" s="17"/>
      <c r="S47" s="17"/>
      <c r="T47" s="17"/>
      <c r="U47" s="18" t="str">
        <f aca="false">IF(A47="","",IF(N(G47)-N(L47)-N(N47)&lt;0,"Check shares",IF(AND(P47&lt;&gt;"",Q47&lt;&gt;""),"Closed","Open")))</f>
        <v/>
      </c>
      <c r="V47" s="19" t="str">
        <f aca="false">IF(OR(F47="",P47=""),"",NETWORKDAYS(F47,P47,Lists!$F$5:$F$40)-1)</f>
        <v/>
      </c>
      <c r="W47" s="18" t="str">
        <f aca="false">IF(V47="","",IF(V47=0,"Same day","Overnight"))</f>
        <v/>
      </c>
      <c r="X47" s="18" t="str">
        <f aca="false">IF(OR(E47="",F47=""),"",IF(AND(E47&gt;=F47,OR(P47="",E47&lt;=P47)),"Yes","No"))</f>
        <v/>
      </c>
      <c r="Y47" s="20" t="str">
        <f aca="false">IF(A47="","",N(G47)-N(L47)-N(N47))</f>
        <v/>
      </c>
      <c r="Z47" s="21" t="str">
        <f aca="false">IF(OR(G47="",H47="",I47=""),"",ABS(H47-I47)*G47)</f>
        <v/>
      </c>
      <c r="AA47" s="22" t="str">
        <f aca="false">IF(OR(J47="",N(Z47)=0),"",ABS(J47-H47)/ABS(H47-I47))</f>
        <v/>
      </c>
      <c r="AB47" s="23" t="str">
        <f aca="false">IF(U47&lt;&gt;"Closed","",(N(L47)*N(M47)+N(N47)*N(O47)+Y47*Q47)/G47)</f>
        <v/>
      </c>
      <c r="AC47" s="24" t="str">
        <f aca="false">IF(U47&lt;&gt;"Closed","",IF($B47="Short",-1,1)*((N(M47)-H47)*N(L47)+(N(O47)-H47)*N(N47)+(Q47-H47)*Y47)-N(R47))</f>
        <v/>
      </c>
      <c r="AD47" s="25" t="str">
        <f aca="false">IF(OR(AC47="",N(Z47)=0),"",AC47/Z47)</f>
        <v/>
      </c>
      <c r="AE47" s="25" t="str">
        <f aca="false">IF(OR(S47="",N(Z47)=0),"",IF($B47="Short",-1,1)*(S47-H47)*G47/Z47)</f>
        <v/>
      </c>
      <c r="AF47" s="25" t="str">
        <f aca="false">IF(OR(T47="",N(Z47)=0),"",IF($B47="Short",-1,1)*(T47-H47)*G47/Z47)</f>
        <v/>
      </c>
      <c r="AG47" s="21" t="str">
        <f aca="false">IF(U47&lt;&gt;"Open","",Y47*MAX(0,IF($B47="Short",-1,1)*(H47-IF(K47="",I47,K47))))</f>
        <v/>
      </c>
      <c r="AH47" s="26" t="str">
        <f aca="false">IF(U47&lt;&gt;"Closed","",DATE(YEAR(P47),MONTH(P47),1))</f>
        <v/>
      </c>
      <c r="AI47" s="19" t="str">
        <f aca="false">IF(U47&lt;&gt;"Closed","",COUNTIFS($U$7:$U$506,"Closed",$P$7:$P$506,"&lt;"&amp;P47)+COUNTIFS($U$7:U47,"Closed",$P$7:P47,P47))</f>
        <v/>
      </c>
    </row>
    <row r="48" customFormat="false" ht="15" hidden="false" customHeight="false" outlineLevel="0" collapsed="false">
      <c r="A48" s="13"/>
      <c r="B48" s="48"/>
      <c r="C48" s="48"/>
      <c r="D48" s="48"/>
      <c r="E48" s="15"/>
      <c r="F48" s="15"/>
      <c r="G48" s="16"/>
      <c r="H48" s="17"/>
      <c r="I48" s="17"/>
      <c r="J48" s="17"/>
      <c r="K48" s="17"/>
      <c r="L48" s="16"/>
      <c r="M48" s="17"/>
      <c r="N48" s="16"/>
      <c r="O48" s="17"/>
      <c r="P48" s="15"/>
      <c r="Q48" s="17"/>
      <c r="R48" s="17"/>
      <c r="S48" s="17"/>
      <c r="T48" s="17"/>
      <c r="U48" s="18" t="str">
        <f aca="false">IF(A48="","",IF(N(G48)-N(L48)-N(N48)&lt;0,"Check shares",IF(AND(P48&lt;&gt;"",Q48&lt;&gt;""),"Closed","Open")))</f>
        <v/>
      </c>
      <c r="V48" s="19" t="str">
        <f aca="false">IF(OR(F48="",P48=""),"",NETWORKDAYS(F48,P48,Lists!$F$5:$F$40)-1)</f>
        <v/>
      </c>
      <c r="W48" s="18" t="str">
        <f aca="false">IF(V48="","",IF(V48=0,"Same day","Overnight"))</f>
        <v/>
      </c>
      <c r="X48" s="18" t="str">
        <f aca="false">IF(OR(E48="",F48=""),"",IF(AND(E48&gt;=F48,OR(P48="",E48&lt;=P48)),"Yes","No"))</f>
        <v/>
      </c>
      <c r="Y48" s="20" t="str">
        <f aca="false">IF(A48="","",N(G48)-N(L48)-N(N48))</f>
        <v/>
      </c>
      <c r="Z48" s="21" t="str">
        <f aca="false">IF(OR(G48="",H48="",I48=""),"",ABS(H48-I48)*G48)</f>
        <v/>
      </c>
      <c r="AA48" s="22" t="str">
        <f aca="false">IF(OR(J48="",N(Z48)=0),"",ABS(J48-H48)/ABS(H48-I48))</f>
        <v/>
      </c>
      <c r="AB48" s="23" t="str">
        <f aca="false">IF(U48&lt;&gt;"Closed","",(N(L48)*N(M48)+N(N48)*N(O48)+Y48*Q48)/G48)</f>
        <v/>
      </c>
      <c r="AC48" s="24" t="str">
        <f aca="false">IF(U48&lt;&gt;"Closed","",IF($B48="Short",-1,1)*((N(M48)-H48)*N(L48)+(N(O48)-H48)*N(N48)+(Q48-H48)*Y48)-N(R48))</f>
        <v/>
      </c>
      <c r="AD48" s="25" t="str">
        <f aca="false">IF(OR(AC48="",N(Z48)=0),"",AC48/Z48)</f>
        <v/>
      </c>
      <c r="AE48" s="25" t="str">
        <f aca="false">IF(OR(S48="",N(Z48)=0),"",IF($B48="Short",-1,1)*(S48-H48)*G48/Z48)</f>
        <v/>
      </c>
      <c r="AF48" s="25" t="str">
        <f aca="false">IF(OR(T48="",N(Z48)=0),"",IF($B48="Short",-1,1)*(T48-H48)*G48/Z48)</f>
        <v/>
      </c>
      <c r="AG48" s="21" t="str">
        <f aca="false">IF(U48&lt;&gt;"Open","",Y48*MAX(0,IF($B48="Short",-1,1)*(H48-IF(K48="",I48,K48))))</f>
        <v/>
      </c>
      <c r="AH48" s="26" t="str">
        <f aca="false">IF(U48&lt;&gt;"Closed","",DATE(YEAR(P48),MONTH(P48),1))</f>
        <v/>
      </c>
      <c r="AI48" s="19" t="str">
        <f aca="false">IF(U48&lt;&gt;"Closed","",COUNTIFS($U$7:$U$506,"Closed",$P$7:$P$506,"&lt;"&amp;P48)+COUNTIFS($U$7:U48,"Closed",$P$7:P48,P48))</f>
        <v/>
      </c>
    </row>
    <row r="49" customFormat="false" ht="15" hidden="false" customHeight="false" outlineLevel="0" collapsed="false">
      <c r="A49" s="13"/>
      <c r="B49" s="48"/>
      <c r="C49" s="48"/>
      <c r="D49" s="48"/>
      <c r="E49" s="15"/>
      <c r="F49" s="15"/>
      <c r="G49" s="16"/>
      <c r="H49" s="17"/>
      <c r="I49" s="17"/>
      <c r="J49" s="17"/>
      <c r="K49" s="17"/>
      <c r="L49" s="16"/>
      <c r="M49" s="17"/>
      <c r="N49" s="16"/>
      <c r="O49" s="17"/>
      <c r="P49" s="15"/>
      <c r="Q49" s="17"/>
      <c r="R49" s="17"/>
      <c r="S49" s="17"/>
      <c r="T49" s="17"/>
      <c r="U49" s="18" t="str">
        <f aca="false">IF(A49="","",IF(N(G49)-N(L49)-N(N49)&lt;0,"Check shares",IF(AND(P49&lt;&gt;"",Q49&lt;&gt;""),"Closed","Open")))</f>
        <v/>
      </c>
      <c r="V49" s="19" t="str">
        <f aca="false">IF(OR(F49="",P49=""),"",NETWORKDAYS(F49,P49,Lists!$F$5:$F$40)-1)</f>
        <v/>
      </c>
      <c r="W49" s="18" t="str">
        <f aca="false">IF(V49="","",IF(V49=0,"Same day","Overnight"))</f>
        <v/>
      </c>
      <c r="X49" s="18" t="str">
        <f aca="false">IF(OR(E49="",F49=""),"",IF(AND(E49&gt;=F49,OR(P49="",E49&lt;=P49)),"Yes","No"))</f>
        <v/>
      </c>
      <c r="Y49" s="20" t="str">
        <f aca="false">IF(A49="","",N(G49)-N(L49)-N(N49))</f>
        <v/>
      </c>
      <c r="Z49" s="21" t="str">
        <f aca="false">IF(OR(G49="",H49="",I49=""),"",ABS(H49-I49)*G49)</f>
        <v/>
      </c>
      <c r="AA49" s="22" t="str">
        <f aca="false">IF(OR(J49="",N(Z49)=0),"",ABS(J49-H49)/ABS(H49-I49))</f>
        <v/>
      </c>
      <c r="AB49" s="23" t="str">
        <f aca="false">IF(U49&lt;&gt;"Closed","",(N(L49)*N(M49)+N(N49)*N(O49)+Y49*Q49)/G49)</f>
        <v/>
      </c>
      <c r="AC49" s="24" t="str">
        <f aca="false">IF(U49&lt;&gt;"Closed","",IF($B49="Short",-1,1)*((N(M49)-H49)*N(L49)+(N(O49)-H49)*N(N49)+(Q49-H49)*Y49)-N(R49))</f>
        <v/>
      </c>
      <c r="AD49" s="25" t="str">
        <f aca="false">IF(OR(AC49="",N(Z49)=0),"",AC49/Z49)</f>
        <v/>
      </c>
      <c r="AE49" s="25" t="str">
        <f aca="false">IF(OR(S49="",N(Z49)=0),"",IF($B49="Short",-1,1)*(S49-H49)*G49/Z49)</f>
        <v/>
      </c>
      <c r="AF49" s="25" t="str">
        <f aca="false">IF(OR(T49="",N(Z49)=0),"",IF($B49="Short",-1,1)*(T49-H49)*G49/Z49)</f>
        <v/>
      </c>
      <c r="AG49" s="21" t="str">
        <f aca="false">IF(U49&lt;&gt;"Open","",Y49*MAX(0,IF($B49="Short",-1,1)*(H49-IF(K49="",I49,K49))))</f>
        <v/>
      </c>
      <c r="AH49" s="26" t="str">
        <f aca="false">IF(U49&lt;&gt;"Closed","",DATE(YEAR(P49),MONTH(P49),1))</f>
        <v/>
      </c>
      <c r="AI49" s="19" t="str">
        <f aca="false">IF(U49&lt;&gt;"Closed","",COUNTIFS($U$7:$U$506,"Closed",$P$7:$P$506,"&lt;"&amp;P49)+COUNTIFS($U$7:U49,"Closed",$P$7:P49,P49))</f>
        <v/>
      </c>
    </row>
    <row r="50" customFormat="false" ht="15" hidden="false" customHeight="false" outlineLevel="0" collapsed="false">
      <c r="A50" s="13"/>
      <c r="B50" s="48"/>
      <c r="C50" s="48"/>
      <c r="D50" s="48"/>
      <c r="E50" s="15"/>
      <c r="F50" s="15"/>
      <c r="G50" s="16"/>
      <c r="H50" s="17"/>
      <c r="I50" s="17"/>
      <c r="J50" s="17"/>
      <c r="K50" s="17"/>
      <c r="L50" s="16"/>
      <c r="M50" s="17"/>
      <c r="N50" s="16"/>
      <c r="O50" s="17"/>
      <c r="P50" s="15"/>
      <c r="Q50" s="17"/>
      <c r="R50" s="17"/>
      <c r="S50" s="17"/>
      <c r="T50" s="17"/>
      <c r="U50" s="18" t="str">
        <f aca="false">IF(A50="","",IF(N(G50)-N(L50)-N(N50)&lt;0,"Check shares",IF(AND(P50&lt;&gt;"",Q50&lt;&gt;""),"Closed","Open")))</f>
        <v/>
      </c>
      <c r="V50" s="19" t="str">
        <f aca="false">IF(OR(F50="",P50=""),"",NETWORKDAYS(F50,P50,Lists!$F$5:$F$40)-1)</f>
        <v/>
      </c>
      <c r="W50" s="18" t="str">
        <f aca="false">IF(V50="","",IF(V50=0,"Same day","Overnight"))</f>
        <v/>
      </c>
      <c r="X50" s="18" t="str">
        <f aca="false">IF(OR(E50="",F50=""),"",IF(AND(E50&gt;=F50,OR(P50="",E50&lt;=P50)),"Yes","No"))</f>
        <v/>
      </c>
      <c r="Y50" s="20" t="str">
        <f aca="false">IF(A50="","",N(G50)-N(L50)-N(N50))</f>
        <v/>
      </c>
      <c r="Z50" s="21" t="str">
        <f aca="false">IF(OR(G50="",H50="",I50=""),"",ABS(H50-I50)*G50)</f>
        <v/>
      </c>
      <c r="AA50" s="22" t="str">
        <f aca="false">IF(OR(J50="",N(Z50)=0),"",ABS(J50-H50)/ABS(H50-I50))</f>
        <v/>
      </c>
      <c r="AB50" s="23" t="str">
        <f aca="false">IF(U50&lt;&gt;"Closed","",(N(L50)*N(M50)+N(N50)*N(O50)+Y50*Q50)/G50)</f>
        <v/>
      </c>
      <c r="AC50" s="24" t="str">
        <f aca="false">IF(U50&lt;&gt;"Closed","",IF($B50="Short",-1,1)*((N(M50)-H50)*N(L50)+(N(O50)-H50)*N(N50)+(Q50-H50)*Y50)-N(R50))</f>
        <v/>
      </c>
      <c r="AD50" s="25" t="str">
        <f aca="false">IF(OR(AC50="",N(Z50)=0),"",AC50/Z50)</f>
        <v/>
      </c>
      <c r="AE50" s="25" t="str">
        <f aca="false">IF(OR(S50="",N(Z50)=0),"",IF($B50="Short",-1,1)*(S50-H50)*G50/Z50)</f>
        <v/>
      </c>
      <c r="AF50" s="25" t="str">
        <f aca="false">IF(OR(T50="",N(Z50)=0),"",IF($B50="Short",-1,1)*(T50-H50)*G50/Z50)</f>
        <v/>
      </c>
      <c r="AG50" s="21" t="str">
        <f aca="false">IF(U50&lt;&gt;"Open","",Y50*MAX(0,IF($B50="Short",-1,1)*(H50-IF(K50="",I50,K50))))</f>
        <v/>
      </c>
      <c r="AH50" s="26" t="str">
        <f aca="false">IF(U50&lt;&gt;"Closed","",DATE(YEAR(P50),MONTH(P50),1))</f>
        <v/>
      </c>
      <c r="AI50" s="19" t="str">
        <f aca="false">IF(U50&lt;&gt;"Closed","",COUNTIFS($U$7:$U$506,"Closed",$P$7:$P$506,"&lt;"&amp;P50)+COUNTIFS($U$7:U50,"Closed",$P$7:P50,P50))</f>
        <v/>
      </c>
    </row>
    <row r="51" customFormat="false" ht="15" hidden="false" customHeight="false" outlineLevel="0" collapsed="false">
      <c r="A51" s="13"/>
      <c r="B51" s="48"/>
      <c r="C51" s="48"/>
      <c r="D51" s="48"/>
      <c r="E51" s="15"/>
      <c r="F51" s="15"/>
      <c r="G51" s="16"/>
      <c r="H51" s="17"/>
      <c r="I51" s="17"/>
      <c r="J51" s="17"/>
      <c r="K51" s="17"/>
      <c r="L51" s="16"/>
      <c r="M51" s="17"/>
      <c r="N51" s="16"/>
      <c r="O51" s="17"/>
      <c r="P51" s="15"/>
      <c r="Q51" s="17"/>
      <c r="R51" s="17"/>
      <c r="S51" s="17"/>
      <c r="T51" s="17"/>
      <c r="U51" s="18" t="str">
        <f aca="false">IF(A51="","",IF(N(G51)-N(L51)-N(N51)&lt;0,"Check shares",IF(AND(P51&lt;&gt;"",Q51&lt;&gt;""),"Closed","Open")))</f>
        <v/>
      </c>
      <c r="V51" s="19" t="str">
        <f aca="false">IF(OR(F51="",P51=""),"",NETWORKDAYS(F51,P51,Lists!$F$5:$F$40)-1)</f>
        <v/>
      </c>
      <c r="W51" s="18" t="str">
        <f aca="false">IF(V51="","",IF(V51=0,"Same day","Overnight"))</f>
        <v/>
      </c>
      <c r="X51" s="18" t="str">
        <f aca="false">IF(OR(E51="",F51=""),"",IF(AND(E51&gt;=F51,OR(P51="",E51&lt;=P51)),"Yes","No"))</f>
        <v/>
      </c>
      <c r="Y51" s="20" t="str">
        <f aca="false">IF(A51="","",N(G51)-N(L51)-N(N51))</f>
        <v/>
      </c>
      <c r="Z51" s="21" t="str">
        <f aca="false">IF(OR(G51="",H51="",I51=""),"",ABS(H51-I51)*G51)</f>
        <v/>
      </c>
      <c r="AA51" s="22" t="str">
        <f aca="false">IF(OR(J51="",N(Z51)=0),"",ABS(J51-H51)/ABS(H51-I51))</f>
        <v/>
      </c>
      <c r="AB51" s="23" t="str">
        <f aca="false">IF(U51&lt;&gt;"Closed","",(N(L51)*N(M51)+N(N51)*N(O51)+Y51*Q51)/G51)</f>
        <v/>
      </c>
      <c r="AC51" s="24" t="str">
        <f aca="false">IF(U51&lt;&gt;"Closed","",IF($B51="Short",-1,1)*((N(M51)-H51)*N(L51)+(N(O51)-H51)*N(N51)+(Q51-H51)*Y51)-N(R51))</f>
        <v/>
      </c>
      <c r="AD51" s="25" t="str">
        <f aca="false">IF(OR(AC51="",N(Z51)=0),"",AC51/Z51)</f>
        <v/>
      </c>
      <c r="AE51" s="25" t="str">
        <f aca="false">IF(OR(S51="",N(Z51)=0),"",IF($B51="Short",-1,1)*(S51-H51)*G51/Z51)</f>
        <v/>
      </c>
      <c r="AF51" s="25" t="str">
        <f aca="false">IF(OR(T51="",N(Z51)=0),"",IF($B51="Short",-1,1)*(T51-H51)*G51/Z51)</f>
        <v/>
      </c>
      <c r="AG51" s="21" t="str">
        <f aca="false">IF(U51&lt;&gt;"Open","",Y51*MAX(0,IF($B51="Short",-1,1)*(H51-IF(K51="",I51,K51))))</f>
        <v/>
      </c>
      <c r="AH51" s="26" t="str">
        <f aca="false">IF(U51&lt;&gt;"Closed","",DATE(YEAR(P51),MONTH(P51),1))</f>
        <v/>
      </c>
      <c r="AI51" s="19" t="str">
        <f aca="false">IF(U51&lt;&gt;"Closed","",COUNTIFS($U$7:$U$506,"Closed",$P$7:$P$506,"&lt;"&amp;P51)+COUNTIFS($U$7:U51,"Closed",$P$7:P51,P51))</f>
        <v/>
      </c>
    </row>
    <row r="52" customFormat="false" ht="15" hidden="false" customHeight="false" outlineLevel="0" collapsed="false">
      <c r="A52" s="13"/>
      <c r="B52" s="48"/>
      <c r="C52" s="48"/>
      <c r="D52" s="48"/>
      <c r="E52" s="15"/>
      <c r="F52" s="15"/>
      <c r="G52" s="16"/>
      <c r="H52" s="17"/>
      <c r="I52" s="17"/>
      <c r="J52" s="17"/>
      <c r="K52" s="17"/>
      <c r="L52" s="16"/>
      <c r="M52" s="17"/>
      <c r="N52" s="16"/>
      <c r="O52" s="17"/>
      <c r="P52" s="15"/>
      <c r="Q52" s="17"/>
      <c r="R52" s="17"/>
      <c r="S52" s="17"/>
      <c r="T52" s="17"/>
      <c r="U52" s="18" t="str">
        <f aca="false">IF(A52="","",IF(N(G52)-N(L52)-N(N52)&lt;0,"Check shares",IF(AND(P52&lt;&gt;"",Q52&lt;&gt;""),"Closed","Open")))</f>
        <v/>
      </c>
      <c r="V52" s="19" t="str">
        <f aca="false">IF(OR(F52="",P52=""),"",NETWORKDAYS(F52,P52,Lists!$F$5:$F$40)-1)</f>
        <v/>
      </c>
      <c r="W52" s="18" t="str">
        <f aca="false">IF(V52="","",IF(V52=0,"Same day","Overnight"))</f>
        <v/>
      </c>
      <c r="X52" s="18" t="str">
        <f aca="false">IF(OR(E52="",F52=""),"",IF(AND(E52&gt;=F52,OR(P52="",E52&lt;=P52)),"Yes","No"))</f>
        <v/>
      </c>
      <c r="Y52" s="20" t="str">
        <f aca="false">IF(A52="","",N(G52)-N(L52)-N(N52))</f>
        <v/>
      </c>
      <c r="Z52" s="21" t="str">
        <f aca="false">IF(OR(G52="",H52="",I52=""),"",ABS(H52-I52)*G52)</f>
        <v/>
      </c>
      <c r="AA52" s="22" t="str">
        <f aca="false">IF(OR(J52="",N(Z52)=0),"",ABS(J52-H52)/ABS(H52-I52))</f>
        <v/>
      </c>
      <c r="AB52" s="23" t="str">
        <f aca="false">IF(U52&lt;&gt;"Closed","",(N(L52)*N(M52)+N(N52)*N(O52)+Y52*Q52)/G52)</f>
        <v/>
      </c>
      <c r="AC52" s="24" t="str">
        <f aca="false">IF(U52&lt;&gt;"Closed","",IF($B52="Short",-1,1)*((N(M52)-H52)*N(L52)+(N(O52)-H52)*N(N52)+(Q52-H52)*Y52)-N(R52))</f>
        <v/>
      </c>
      <c r="AD52" s="25" t="str">
        <f aca="false">IF(OR(AC52="",N(Z52)=0),"",AC52/Z52)</f>
        <v/>
      </c>
      <c r="AE52" s="25" t="str">
        <f aca="false">IF(OR(S52="",N(Z52)=0),"",IF($B52="Short",-1,1)*(S52-H52)*G52/Z52)</f>
        <v/>
      </c>
      <c r="AF52" s="25" t="str">
        <f aca="false">IF(OR(T52="",N(Z52)=0),"",IF($B52="Short",-1,1)*(T52-H52)*G52/Z52)</f>
        <v/>
      </c>
      <c r="AG52" s="21" t="str">
        <f aca="false">IF(U52&lt;&gt;"Open","",Y52*MAX(0,IF($B52="Short",-1,1)*(H52-IF(K52="",I52,K52))))</f>
        <v/>
      </c>
      <c r="AH52" s="26" t="str">
        <f aca="false">IF(U52&lt;&gt;"Closed","",DATE(YEAR(P52),MONTH(P52),1))</f>
        <v/>
      </c>
      <c r="AI52" s="19" t="str">
        <f aca="false">IF(U52&lt;&gt;"Closed","",COUNTIFS($U$7:$U$506,"Closed",$P$7:$P$506,"&lt;"&amp;P52)+COUNTIFS($U$7:U52,"Closed",$P$7:P52,P52))</f>
        <v/>
      </c>
    </row>
    <row r="53" customFormat="false" ht="15" hidden="false" customHeight="false" outlineLevel="0" collapsed="false">
      <c r="A53" s="13"/>
      <c r="B53" s="48"/>
      <c r="C53" s="48"/>
      <c r="D53" s="48"/>
      <c r="E53" s="15"/>
      <c r="F53" s="15"/>
      <c r="G53" s="16"/>
      <c r="H53" s="17"/>
      <c r="I53" s="17"/>
      <c r="J53" s="17"/>
      <c r="K53" s="17"/>
      <c r="L53" s="16"/>
      <c r="M53" s="17"/>
      <c r="N53" s="16"/>
      <c r="O53" s="17"/>
      <c r="P53" s="15"/>
      <c r="Q53" s="17"/>
      <c r="R53" s="17"/>
      <c r="S53" s="17"/>
      <c r="T53" s="17"/>
      <c r="U53" s="18" t="str">
        <f aca="false">IF(A53="","",IF(N(G53)-N(L53)-N(N53)&lt;0,"Check shares",IF(AND(P53&lt;&gt;"",Q53&lt;&gt;""),"Closed","Open")))</f>
        <v/>
      </c>
      <c r="V53" s="19" t="str">
        <f aca="false">IF(OR(F53="",P53=""),"",NETWORKDAYS(F53,P53,Lists!$F$5:$F$40)-1)</f>
        <v/>
      </c>
      <c r="W53" s="18" t="str">
        <f aca="false">IF(V53="","",IF(V53=0,"Same day","Overnight"))</f>
        <v/>
      </c>
      <c r="X53" s="18" t="str">
        <f aca="false">IF(OR(E53="",F53=""),"",IF(AND(E53&gt;=F53,OR(P53="",E53&lt;=P53)),"Yes","No"))</f>
        <v/>
      </c>
      <c r="Y53" s="20" t="str">
        <f aca="false">IF(A53="","",N(G53)-N(L53)-N(N53))</f>
        <v/>
      </c>
      <c r="Z53" s="21" t="str">
        <f aca="false">IF(OR(G53="",H53="",I53=""),"",ABS(H53-I53)*G53)</f>
        <v/>
      </c>
      <c r="AA53" s="22" t="str">
        <f aca="false">IF(OR(J53="",N(Z53)=0),"",ABS(J53-H53)/ABS(H53-I53))</f>
        <v/>
      </c>
      <c r="AB53" s="23" t="str">
        <f aca="false">IF(U53&lt;&gt;"Closed","",(N(L53)*N(M53)+N(N53)*N(O53)+Y53*Q53)/G53)</f>
        <v/>
      </c>
      <c r="AC53" s="24" t="str">
        <f aca="false">IF(U53&lt;&gt;"Closed","",IF($B53="Short",-1,1)*((N(M53)-H53)*N(L53)+(N(O53)-H53)*N(N53)+(Q53-H53)*Y53)-N(R53))</f>
        <v/>
      </c>
      <c r="AD53" s="25" t="str">
        <f aca="false">IF(OR(AC53="",N(Z53)=0),"",AC53/Z53)</f>
        <v/>
      </c>
      <c r="AE53" s="25" t="str">
        <f aca="false">IF(OR(S53="",N(Z53)=0),"",IF($B53="Short",-1,1)*(S53-H53)*G53/Z53)</f>
        <v/>
      </c>
      <c r="AF53" s="25" t="str">
        <f aca="false">IF(OR(T53="",N(Z53)=0),"",IF($B53="Short",-1,1)*(T53-H53)*G53/Z53)</f>
        <v/>
      </c>
      <c r="AG53" s="21" t="str">
        <f aca="false">IF(U53&lt;&gt;"Open","",Y53*MAX(0,IF($B53="Short",-1,1)*(H53-IF(K53="",I53,K53))))</f>
        <v/>
      </c>
      <c r="AH53" s="26" t="str">
        <f aca="false">IF(U53&lt;&gt;"Closed","",DATE(YEAR(P53),MONTH(P53),1))</f>
        <v/>
      </c>
      <c r="AI53" s="19" t="str">
        <f aca="false">IF(U53&lt;&gt;"Closed","",COUNTIFS($U$7:$U$506,"Closed",$P$7:$P$506,"&lt;"&amp;P53)+COUNTIFS($U$7:U53,"Closed",$P$7:P53,P53))</f>
        <v/>
      </c>
    </row>
    <row r="54" customFormat="false" ht="15" hidden="false" customHeight="false" outlineLevel="0" collapsed="false">
      <c r="A54" s="13"/>
      <c r="B54" s="48"/>
      <c r="C54" s="48"/>
      <c r="D54" s="48"/>
      <c r="E54" s="15"/>
      <c r="F54" s="15"/>
      <c r="G54" s="16"/>
      <c r="H54" s="17"/>
      <c r="I54" s="17"/>
      <c r="J54" s="17"/>
      <c r="K54" s="17"/>
      <c r="L54" s="16"/>
      <c r="M54" s="17"/>
      <c r="N54" s="16"/>
      <c r="O54" s="17"/>
      <c r="P54" s="15"/>
      <c r="Q54" s="17"/>
      <c r="R54" s="17"/>
      <c r="S54" s="17"/>
      <c r="T54" s="17"/>
      <c r="U54" s="18" t="str">
        <f aca="false">IF(A54="","",IF(N(G54)-N(L54)-N(N54)&lt;0,"Check shares",IF(AND(P54&lt;&gt;"",Q54&lt;&gt;""),"Closed","Open")))</f>
        <v/>
      </c>
      <c r="V54" s="19" t="str">
        <f aca="false">IF(OR(F54="",P54=""),"",NETWORKDAYS(F54,P54,Lists!$F$5:$F$40)-1)</f>
        <v/>
      </c>
      <c r="W54" s="18" t="str">
        <f aca="false">IF(V54="","",IF(V54=0,"Same day","Overnight"))</f>
        <v/>
      </c>
      <c r="X54" s="18" t="str">
        <f aca="false">IF(OR(E54="",F54=""),"",IF(AND(E54&gt;=F54,OR(P54="",E54&lt;=P54)),"Yes","No"))</f>
        <v/>
      </c>
      <c r="Y54" s="20" t="str">
        <f aca="false">IF(A54="","",N(G54)-N(L54)-N(N54))</f>
        <v/>
      </c>
      <c r="Z54" s="21" t="str">
        <f aca="false">IF(OR(G54="",H54="",I54=""),"",ABS(H54-I54)*G54)</f>
        <v/>
      </c>
      <c r="AA54" s="22" t="str">
        <f aca="false">IF(OR(J54="",N(Z54)=0),"",ABS(J54-H54)/ABS(H54-I54))</f>
        <v/>
      </c>
      <c r="AB54" s="23" t="str">
        <f aca="false">IF(U54&lt;&gt;"Closed","",(N(L54)*N(M54)+N(N54)*N(O54)+Y54*Q54)/G54)</f>
        <v/>
      </c>
      <c r="AC54" s="24" t="str">
        <f aca="false">IF(U54&lt;&gt;"Closed","",IF($B54="Short",-1,1)*((N(M54)-H54)*N(L54)+(N(O54)-H54)*N(N54)+(Q54-H54)*Y54)-N(R54))</f>
        <v/>
      </c>
      <c r="AD54" s="25" t="str">
        <f aca="false">IF(OR(AC54="",N(Z54)=0),"",AC54/Z54)</f>
        <v/>
      </c>
      <c r="AE54" s="25" t="str">
        <f aca="false">IF(OR(S54="",N(Z54)=0),"",IF($B54="Short",-1,1)*(S54-H54)*G54/Z54)</f>
        <v/>
      </c>
      <c r="AF54" s="25" t="str">
        <f aca="false">IF(OR(T54="",N(Z54)=0),"",IF($B54="Short",-1,1)*(T54-H54)*G54/Z54)</f>
        <v/>
      </c>
      <c r="AG54" s="21" t="str">
        <f aca="false">IF(U54&lt;&gt;"Open","",Y54*MAX(0,IF($B54="Short",-1,1)*(H54-IF(K54="",I54,K54))))</f>
        <v/>
      </c>
      <c r="AH54" s="26" t="str">
        <f aca="false">IF(U54&lt;&gt;"Closed","",DATE(YEAR(P54),MONTH(P54),1))</f>
        <v/>
      </c>
      <c r="AI54" s="19" t="str">
        <f aca="false">IF(U54&lt;&gt;"Closed","",COUNTIFS($U$7:$U$506,"Closed",$P$7:$P$506,"&lt;"&amp;P54)+COUNTIFS($U$7:U54,"Closed",$P$7:P54,P54))</f>
        <v/>
      </c>
    </row>
    <row r="55" customFormat="false" ht="15" hidden="false" customHeight="false" outlineLevel="0" collapsed="false">
      <c r="A55" s="13"/>
      <c r="B55" s="48"/>
      <c r="C55" s="48"/>
      <c r="D55" s="48"/>
      <c r="E55" s="15"/>
      <c r="F55" s="15"/>
      <c r="G55" s="16"/>
      <c r="H55" s="17"/>
      <c r="I55" s="17"/>
      <c r="J55" s="17"/>
      <c r="K55" s="17"/>
      <c r="L55" s="16"/>
      <c r="M55" s="17"/>
      <c r="N55" s="16"/>
      <c r="O55" s="17"/>
      <c r="P55" s="15"/>
      <c r="Q55" s="17"/>
      <c r="R55" s="17"/>
      <c r="S55" s="17"/>
      <c r="T55" s="17"/>
      <c r="U55" s="18" t="str">
        <f aca="false">IF(A55="","",IF(N(G55)-N(L55)-N(N55)&lt;0,"Check shares",IF(AND(P55&lt;&gt;"",Q55&lt;&gt;""),"Closed","Open")))</f>
        <v/>
      </c>
      <c r="V55" s="19" t="str">
        <f aca="false">IF(OR(F55="",P55=""),"",NETWORKDAYS(F55,P55,Lists!$F$5:$F$40)-1)</f>
        <v/>
      </c>
      <c r="W55" s="18" t="str">
        <f aca="false">IF(V55="","",IF(V55=0,"Same day","Overnight"))</f>
        <v/>
      </c>
      <c r="X55" s="18" t="str">
        <f aca="false">IF(OR(E55="",F55=""),"",IF(AND(E55&gt;=F55,OR(P55="",E55&lt;=P55)),"Yes","No"))</f>
        <v/>
      </c>
      <c r="Y55" s="20" t="str">
        <f aca="false">IF(A55="","",N(G55)-N(L55)-N(N55))</f>
        <v/>
      </c>
      <c r="Z55" s="21" t="str">
        <f aca="false">IF(OR(G55="",H55="",I55=""),"",ABS(H55-I55)*G55)</f>
        <v/>
      </c>
      <c r="AA55" s="22" t="str">
        <f aca="false">IF(OR(J55="",N(Z55)=0),"",ABS(J55-H55)/ABS(H55-I55))</f>
        <v/>
      </c>
      <c r="AB55" s="23" t="str">
        <f aca="false">IF(U55&lt;&gt;"Closed","",(N(L55)*N(M55)+N(N55)*N(O55)+Y55*Q55)/G55)</f>
        <v/>
      </c>
      <c r="AC55" s="24" t="str">
        <f aca="false">IF(U55&lt;&gt;"Closed","",IF($B55="Short",-1,1)*((N(M55)-H55)*N(L55)+(N(O55)-H55)*N(N55)+(Q55-H55)*Y55)-N(R55))</f>
        <v/>
      </c>
      <c r="AD55" s="25" t="str">
        <f aca="false">IF(OR(AC55="",N(Z55)=0),"",AC55/Z55)</f>
        <v/>
      </c>
      <c r="AE55" s="25" t="str">
        <f aca="false">IF(OR(S55="",N(Z55)=0),"",IF($B55="Short",-1,1)*(S55-H55)*G55/Z55)</f>
        <v/>
      </c>
      <c r="AF55" s="25" t="str">
        <f aca="false">IF(OR(T55="",N(Z55)=0),"",IF($B55="Short",-1,1)*(T55-H55)*G55/Z55)</f>
        <v/>
      </c>
      <c r="AG55" s="21" t="str">
        <f aca="false">IF(U55&lt;&gt;"Open","",Y55*MAX(0,IF($B55="Short",-1,1)*(H55-IF(K55="",I55,K55))))</f>
        <v/>
      </c>
      <c r="AH55" s="26" t="str">
        <f aca="false">IF(U55&lt;&gt;"Closed","",DATE(YEAR(P55),MONTH(P55),1))</f>
        <v/>
      </c>
      <c r="AI55" s="19" t="str">
        <f aca="false">IF(U55&lt;&gt;"Closed","",COUNTIFS($U$7:$U$506,"Closed",$P$7:$P$506,"&lt;"&amp;P55)+COUNTIFS($U$7:U55,"Closed",$P$7:P55,P55))</f>
        <v/>
      </c>
    </row>
    <row r="56" customFormat="false" ht="15" hidden="false" customHeight="false" outlineLevel="0" collapsed="false">
      <c r="A56" s="13"/>
      <c r="B56" s="48"/>
      <c r="C56" s="48"/>
      <c r="D56" s="48"/>
      <c r="E56" s="15"/>
      <c r="F56" s="15"/>
      <c r="G56" s="16"/>
      <c r="H56" s="17"/>
      <c r="I56" s="17"/>
      <c r="J56" s="17"/>
      <c r="K56" s="17"/>
      <c r="L56" s="16"/>
      <c r="M56" s="17"/>
      <c r="N56" s="16"/>
      <c r="O56" s="17"/>
      <c r="P56" s="15"/>
      <c r="Q56" s="17"/>
      <c r="R56" s="17"/>
      <c r="S56" s="17"/>
      <c r="T56" s="17"/>
      <c r="U56" s="18" t="str">
        <f aca="false">IF(A56="","",IF(N(G56)-N(L56)-N(N56)&lt;0,"Check shares",IF(AND(P56&lt;&gt;"",Q56&lt;&gt;""),"Closed","Open")))</f>
        <v/>
      </c>
      <c r="V56" s="19" t="str">
        <f aca="false">IF(OR(F56="",P56=""),"",NETWORKDAYS(F56,P56,Lists!$F$5:$F$40)-1)</f>
        <v/>
      </c>
      <c r="W56" s="18" t="str">
        <f aca="false">IF(V56="","",IF(V56=0,"Same day","Overnight"))</f>
        <v/>
      </c>
      <c r="X56" s="18" t="str">
        <f aca="false">IF(OR(E56="",F56=""),"",IF(AND(E56&gt;=F56,OR(P56="",E56&lt;=P56)),"Yes","No"))</f>
        <v/>
      </c>
      <c r="Y56" s="20" t="str">
        <f aca="false">IF(A56="","",N(G56)-N(L56)-N(N56))</f>
        <v/>
      </c>
      <c r="Z56" s="21" t="str">
        <f aca="false">IF(OR(G56="",H56="",I56=""),"",ABS(H56-I56)*G56)</f>
        <v/>
      </c>
      <c r="AA56" s="22" t="str">
        <f aca="false">IF(OR(J56="",N(Z56)=0),"",ABS(J56-H56)/ABS(H56-I56))</f>
        <v/>
      </c>
      <c r="AB56" s="23" t="str">
        <f aca="false">IF(U56&lt;&gt;"Closed","",(N(L56)*N(M56)+N(N56)*N(O56)+Y56*Q56)/G56)</f>
        <v/>
      </c>
      <c r="AC56" s="24" t="str">
        <f aca="false">IF(U56&lt;&gt;"Closed","",IF($B56="Short",-1,1)*((N(M56)-H56)*N(L56)+(N(O56)-H56)*N(N56)+(Q56-H56)*Y56)-N(R56))</f>
        <v/>
      </c>
      <c r="AD56" s="25" t="str">
        <f aca="false">IF(OR(AC56="",N(Z56)=0),"",AC56/Z56)</f>
        <v/>
      </c>
      <c r="AE56" s="25" t="str">
        <f aca="false">IF(OR(S56="",N(Z56)=0),"",IF($B56="Short",-1,1)*(S56-H56)*G56/Z56)</f>
        <v/>
      </c>
      <c r="AF56" s="25" t="str">
        <f aca="false">IF(OR(T56="",N(Z56)=0),"",IF($B56="Short",-1,1)*(T56-H56)*G56/Z56)</f>
        <v/>
      </c>
      <c r="AG56" s="21" t="str">
        <f aca="false">IF(U56&lt;&gt;"Open","",Y56*MAX(0,IF($B56="Short",-1,1)*(H56-IF(K56="",I56,K56))))</f>
        <v/>
      </c>
      <c r="AH56" s="26" t="str">
        <f aca="false">IF(U56&lt;&gt;"Closed","",DATE(YEAR(P56),MONTH(P56),1))</f>
        <v/>
      </c>
      <c r="AI56" s="19" t="str">
        <f aca="false">IF(U56&lt;&gt;"Closed","",COUNTIFS($U$7:$U$506,"Closed",$P$7:$P$506,"&lt;"&amp;P56)+COUNTIFS($U$7:U56,"Closed",$P$7:P56,P56))</f>
        <v/>
      </c>
    </row>
    <row r="57" customFormat="false" ht="15" hidden="false" customHeight="false" outlineLevel="0" collapsed="false">
      <c r="A57" s="13"/>
      <c r="B57" s="48"/>
      <c r="C57" s="48"/>
      <c r="D57" s="48"/>
      <c r="E57" s="15"/>
      <c r="F57" s="15"/>
      <c r="G57" s="16"/>
      <c r="H57" s="17"/>
      <c r="I57" s="17"/>
      <c r="J57" s="17"/>
      <c r="K57" s="17"/>
      <c r="L57" s="16"/>
      <c r="M57" s="17"/>
      <c r="N57" s="16"/>
      <c r="O57" s="17"/>
      <c r="P57" s="15"/>
      <c r="Q57" s="17"/>
      <c r="R57" s="17"/>
      <c r="S57" s="17"/>
      <c r="T57" s="17"/>
      <c r="U57" s="18" t="str">
        <f aca="false">IF(A57="","",IF(N(G57)-N(L57)-N(N57)&lt;0,"Check shares",IF(AND(P57&lt;&gt;"",Q57&lt;&gt;""),"Closed","Open")))</f>
        <v/>
      </c>
      <c r="V57" s="19" t="str">
        <f aca="false">IF(OR(F57="",P57=""),"",NETWORKDAYS(F57,P57,Lists!$F$5:$F$40)-1)</f>
        <v/>
      </c>
      <c r="W57" s="18" t="str">
        <f aca="false">IF(V57="","",IF(V57=0,"Same day","Overnight"))</f>
        <v/>
      </c>
      <c r="X57" s="18" t="str">
        <f aca="false">IF(OR(E57="",F57=""),"",IF(AND(E57&gt;=F57,OR(P57="",E57&lt;=P57)),"Yes","No"))</f>
        <v/>
      </c>
      <c r="Y57" s="20" t="str">
        <f aca="false">IF(A57="","",N(G57)-N(L57)-N(N57))</f>
        <v/>
      </c>
      <c r="Z57" s="21" t="str">
        <f aca="false">IF(OR(G57="",H57="",I57=""),"",ABS(H57-I57)*G57)</f>
        <v/>
      </c>
      <c r="AA57" s="22" t="str">
        <f aca="false">IF(OR(J57="",N(Z57)=0),"",ABS(J57-H57)/ABS(H57-I57))</f>
        <v/>
      </c>
      <c r="AB57" s="23" t="str">
        <f aca="false">IF(U57&lt;&gt;"Closed","",(N(L57)*N(M57)+N(N57)*N(O57)+Y57*Q57)/G57)</f>
        <v/>
      </c>
      <c r="AC57" s="24" t="str">
        <f aca="false">IF(U57&lt;&gt;"Closed","",IF($B57="Short",-1,1)*((N(M57)-H57)*N(L57)+(N(O57)-H57)*N(N57)+(Q57-H57)*Y57)-N(R57))</f>
        <v/>
      </c>
      <c r="AD57" s="25" t="str">
        <f aca="false">IF(OR(AC57="",N(Z57)=0),"",AC57/Z57)</f>
        <v/>
      </c>
      <c r="AE57" s="25" t="str">
        <f aca="false">IF(OR(S57="",N(Z57)=0),"",IF($B57="Short",-1,1)*(S57-H57)*G57/Z57)</f>
        <v/>
      </c>
      <c r="AF57" s="25" t="str">
        <f aca="false">IF(OR(T57="",N(Z57)=0),"",IF($B57="Short",-1,1)*(T57-H57)*G57/Z57)</f>
        <v/>
      </c>
      <c r="AG57" s="21" t="str">
        <f aca="false">IF(U57&lt;&gt;"Open","",Y57*MAX(0,IF($B57="Short",-1,1)*(H57-IF(K57="",I57,K57))))</f>
        <v/>
      </c>
      <c r="AH57" s="26" t="str">
        <f aca="false">IF(U57&lt;&gt;"Closed","",DATE(YEAR(P57),MONTH(P57),1))</f>
        <v/>
      </c>
      <c r="AI57" s="19" t="str">
        <f aca="false">IF(U57&lt;&gt;"Closed","",COUNTIFS($U$7:$U$506,"Closed",$P$7:$P$506,"&lt;"&amp;P57)+COUNTIFS($U$7:U57,"Closed",$P$7:P57,P57))</f>
        <v/>
      </c>
    </row>
    <row r="58" customFormat="false" ht="15" hidden="false" customHeight="false" outlineLevel="0" collapsed="false">
      <c r="A58" s="13"/>
      <c r="B58" s="48"/>
      <c r="C58" s="48"/>
      <c r="D58" s="48"/>
      <c r="E58" s="15"/>
      <c r="F58" s="15"/>
      <c r="G58" s="16"/>
      <c r="H58" s="17"/>
      <c r="I58" s="17"/>
      <c r="J58" s="17"/>
      <c r="K58" s="17"/>
      <c r="L58" s="16"/>
      <c r="M58" s="17"/>
      <c r="N58" s="16"/>
      <c r="O58" s="17"/>
      <c r="P58" s="15"/>
      <c r="Q58" s="17"/>
      <c r="R58" s="17"/>
      <c r="S58" s="17"/>
      <c r="T58" s="17"/>
      <c r="U58" s="18" t="str">
        <f aca="false">IF(A58="","",IF(N(G58)-N(L58)-N(N58)&lt;0,"Check shares",IF(AND(P58&lt;&gt;"",Q58&lt;&gt;""),"Closed","Open")))</f>
        <v/>
      </c>
      <c r="V58" s="19" t="str">
        <f aca="false">IF(OR(F58="",P58=""),"",NETWORKDAYS(F58,P58,Lists!$F$5:$F$40)-1)</f>
        <v/>
      </c>
      <c r="W58" s="18" t="str">
        <f aca="false">IF(V58="","",IF(V58=0,"Same day","Overnight"))</f>
        <v/>
      </c>
      <c r="X58" s="18" t="str">
        <f aca="false">IF(OR(E58="",F58=""),"",IF(AND(E58&gt;=F58,OR(P58="",E58&lt;=P58)),"Yes","No"))</f>
        <v/>
      </c>
      <c r="Y58" s="20" t="str">
        <f aca="false">IF(A58="","",N(G58)-N(L58)-N(N58))</f>
        <v/>
      </c>
      <c r="Z58" s="21" t="str">
        <f aca="false">IF(OR(G58="",H58="",I58=""),"",ABS(H58-I58)*G58)</f>
        <v/>
      </c>
      <c r="AA58" s="22" t="str">
        <f aca="false">IF(OR(J58="",N(Z58)=0),"",ABS(J58-H58)/ABS(H58-I58))</f>
        <v/>
      </c>
      <c r="AB58" s="23" t="str">
        <f aca="false">IF(U58&lt;&gt;"Closed","",(N(L58)*N(M58)+N(N58)*N(O58)+Y58*Q58)/G58)</f>
        <v/>
      </c>
      <c r="AC58" s="24" t="str">
        <f aca="false">IF(U58&lt;&gt;"Closed","",IF($B58="Short",-1,1)*((N(M58)-H58)*N(L58)+(N(O58)-H58)*N(N58)+(Q58-H58)*Y58)-N(R58))</f>
        <v/>
      </c>
      <c r="AD58" s="25" t="str">
        <f aca="false">IF(OR(AC58="",N(Z58)=0),"",AC58/Z58)</f>
        <v/>
      </c>
      <c r="AE58" s="25" t="str">
        <f aca="false">IF(OR(S58="",N(Z58)=0),"",IF($B58="Short",-1,1)*(S58-H58)*G58/Z58)</f>
        <v/>
      </c>
      <c r="AF58" s="25" t="str">
        <f aca="false">IF(OR(T58="",N(Z58)=0),"",IF($B58="Short",-1,1)*(T58-H58)*G58/Z58)</f>
        <v/>
      </c>
      <c r="AG58" s="21" t="str">
        <f aca="false">IF(U58&lt;&gt;"Open","",Y58*MAX(0,IF($B58="Short",-1,1)*(H58-IF(K58="",I58,K58))))</f>
        <v/>
      </c>
      <c r="AH58" s="26" t="str">
        <f aca="false">IF(U58&lt;&gt;"Closed","",DATE(YEAR(P58),MONTH(P58),1))</f>
        <v/>
      </c>
      <c r="AI58" s="19" t="str">
        <f aca="false">IF(U58&lt;&gt;"Closed","",COUNTIFS($U$7:$U$506,"Closed",$P$7:$P$506,"&lt;"&amp;P58)+COUNTIFS($U$7:U58,"Closed",$P$7:P58,P58))</f>
        <v/>
      </c>
    </row>
    <row r="59" customFormat="false" ht="15" hidden="false" customHeight="false" outlineLevel="0" collapsed="false">
      <c r="A59" s="13"/>
      <c r="B59" s="48"/>
      <c r="C59" s="48"/>
      <c r="D59" s="48"/>
      <c r="E59" s="15"/>
      <c r="F59" s="15"/>
      <c r="G59" s="16"/>
      <c r="H59" s="17"/>
      <c r="I59" s="17"/>
      <c r="J59" s="17"/>
      <c r="K59" s="17"/>
      <c r="L59" s="16"/>
      <c r="M59" s="17"/>
      <c r="N59" s="16"/>
      <c r="O59" s="17"/>
      <c r="P59" s="15"/>
      <c r="Q59" s="17"/>
      <c r="R59" s="17"/>
      <c r="S59" s="17"/>
      <c r="T59" s="17"/>
      <c r="U59" s="18" t="str">
        <f aca="false">IF(A59="","",IF(N(G59)-N(L59)-N(N59)&lt;0,"Check shares",IF(AND(P59&lt;&gt;"",Q59&lt;&gt;""),"Closed","Open")))</f>
        <v/>
      </c>
      <c r="V59" s="19" t="str">
        <f aca="false">IF(OR(F59="",P59=""),"",NETWORKDAYS(F59,P59,Lists!$F$5:$F$40)-1)</f>
        <v/>
      </c>
      <c r="W59" s="18" t="str">
        <f aca="false">IF(V59="","",IF(V59=0,"Same day","Overnight"))</f>
        <v/>
      </c>
      <c r="X59" s="18" t="str">
        <f aca="false">IF(OR(E59="",F59=""),"",IF(AND(E59&gt;=F59,OR(P59="",E59&lt;=P59)),"Yes","No"))</f>
        <v/>
      </c>
      <c r="Y59" s="20" t="str">
        <f aca="false">IF(A59="","",N(G59)-N(L59)-N(N59))</f>
        <v/>
      </c>
      <c r="Z59" s="21" t="str">
        <f aca="false">IF(OR(G59="",H59="",I59=""),"",ABS(H59-I59)*G59)</f>
        <v/>
      </c>
      <c r="AA59" s="22" t="str">
        <f aca="false">IF(OR(J59="",N(Z59)=0),"",ABS(J59-H59)/ABS(H59-I59))</f>
        <v/>
      </c>
      <c r="AB59" s="23" t="str">
        <f aca="false">IF(U59&lt;&gt;"Closed","",(N(L59)*N(M59)+N(N59)*N(O59)+Y59*Q59)/G59)</f>
        <v/>
      </c>
      <c r="AC59" s="24" t="str">
        <f aca="false">IF(U59&lt;&gt;"Closed","",IF($B59="Short",-1,1)*((N(M59)-H59)*N(L59)+(N(O59)-H59)*N(N59)+(Q59-H59)*Y59)-N(R59))</f>
        <v/>
      </c>
      <c r="AD59" s="25" t="str">
        <f aca="false">IF(OR(AC59="",N(Z59)=0),"",AC59/Z59)</f>
        <v/>
      </c>
      <c r="AE59" s="25" t="str">
        <f aca="false">IF(OR(S59="",N(Z59)=0),"",IF($B59="Short",-1,1)*(S59-H59)*G59/Z59)</f>
        <v/>
      </c>
      <c r="AF59" s="25" t="str">
        <f aca="false">IF(OR(T59="",N(Z59)=0),"",IF($B59="Short",-1,1)*(T59-H59)*G59/Z59)</f>
        <v/>
      </c>
      <c r="AG59" s="21" t="str">
        <f aca="false">IF(U59&lt;&gt;"Open","",Y59*MAX(0,IF($B59="Short",-1,1)*(H59-IF(K59="",I59,K59))))</f>
        <v/>
      </c>
      <c r="AH59" s="26" t="str">
        <f aca="false">IF(U59&lt;&gt;"Closed","",DATE(YEAR(P59),MONTH(P59),1))</f>
        <v/>
      </c>
      <c r="AI59" s="19" t="str">
        <f aca="false">IF(U59&lt;&gt;"Closed","",COUNTIFS($U$7:$U$506,"Closed",$P$7:$P$506,"&lt;"&amp;P59)+COUNTIFS($U$7:U59,"Closed",$P$7:P59,P59))</f>
        <v/>
      </c>
    </row>
    <row r="60" customFormat="false" ht="15" hidden="false" customHeight="false" outlineLevel="0" collapsed="false">
      <c r="A60" s="13"/>
      <c r="B60" s="48"/>
      <c r="C60" s="48"/>
      <c r="D60" s="48"/>
      <c r="E60" s="15"/>
      <c r="F60" s="15"/>
      <c r="G60" s="16"/>
      <c r="H60" s="17"/>
      <c r="I60" s="17"/>
      <c r="J60" s="17"/>
      <c r="K60" s="17"/>
      <c r="L60" s="16"/>
      <c r="M60" s="17"/>
      <c r="N60" s="16"/>
      <c r="O60" s="17"/>
      <c r="P60" s="15"/>
      <c r="Q60" s="17"/>
      <c r="R60" s="17"/>
      <c r="S60" s="17"/>
      <c r="T60" s="17"/>
      <c r="U60" s="18" t="str">
        <f aca="false">IF(A60="","",IF(N(G60)-N(L60)-N(N60)&lt;0,"Check shares",IF(AND(P60&lt;&gt;"",Q60&lt;&gt;""),"Closed","Open")))</f>
        <v/>
      </c>
      <c r="V60" s="19" t="str">
        <f aca="false">IF(OR(F60="",P60=""),"",NETWORKDAYS(F60,P60,Lists!$F$5:$F$40)-1)</f>
        <v/>
      </c>
      <c r="W60" s="18" t="str">
        <f aca="false">IF(V60="","",IF(V60=0,"Same day","Overnight"))</f>
        <v/>
      </c>
      <c r="X60" s="18" t="str">
        <f aca="false">IF(OR(E60="",F60=""),"",IF(AND(E60&gt;=F60,OR(P60="",E60&lt;=P60)),"Yes","No"))</f>
        <v/>
      </c>
      <c r="Y60" s="20" t="str">
        <f aca="false">IF(A60="","",N(G60)-N(L60)-N(N60))</f>
        <v/>
      </c>
      <c r="Z60" s="21" t="str">
        <f aca="false">IF(OR(G60="",H60="",I60=""),"",ABS(H60-I60)*G60)</f>
        <v/>
      </c>
      <c r="AA60" s="22" t="str">
        <f aca="false">IF(OR(J60="",N(Z60)=0),"",ABS(J60-H60)/ABS(H60-I60))</f>
        <v/>
      </c>
      <c r="AB60" s="23" t="str">
        <f aca="false">IF(U60&lt;&gt;"Closed","",(N(L60)*N(M60)+N(N60)*N(O60)+Y60*Q60)/G60)</f>
        <v/>
      </c>
      <c r="AC60" s="24" t="str">
        <f aca="false">IF(U60&lt;&gt;"Closed","",IF($B60="Short",-1,1)*((N(M60)-H60)*N(L60)+(N(O60)-H60)*N(N60)+(Q60-H60)*Y60)-N(R60))</f>
        <v/>
      </c>
      <c r="AD60" s="25" t="str">
        <f aca="false">IF(OR(AC60="",N(Z60)=0),"",AC60/Z60)</f>
        <v/>
      </c>
      <c r="AE60" s="25" t="str">
        <f aca="false">IF(OR(S60="",N(Z60)=0),"",IF($B60="Short",-1,1)*(S60-H60)*G60/Z60)</f>
        <v/>
      </c>
      <c r="AF60" s="25" t="str">
        <f aca="false">IF(OR(T60="",N(Z60)=0),"",IF($B60="Short",-1,1)*(T60-H60)*G60/Z60)</f>
        <v/>
      </c>
      <c r="AG60" s="21" t="str">
        <f aca="false">IF(U60&lt;&gt;"Open","",Y60*MAX(0,IF($B60="Short",-1,1)*(H60-IF(K60="",I60,K60))))</f>
        <v/>
      </c>
      <c r="AH60" s="26" t="str">
        <f aca="false">IF(U60&lt;&gt;"Closed","",DATE(YEAR(P60),MONTH(P60),1))</f>
        <v/>
      </c>
      <c r="AI60" s="19" t="str">
        <f aca="false">IF(U60&lt;&gt;"Closed","",COUNTIFS($U$7:$U$506,"Closed",$P$7:$P$506,"&lt;"&amp;P60)+COUNTIFS($U$7:U60,"Closed",$P$7:P60,P60))</f>
        <v/>
      </c>
    </row>
    <row r="61" customFormat="false" ht="15" hidden="false" customHeight="false" outlineLevel="0" collapsed="false">
      <c r="A61" s="13"/>
      <c r="B61" s="48"/>
      <c r="C61" s="48"/>
      <c r="D61" s="48"/>
      <c r="E61" s="15"/>
      <c r="F61" s="15"/>
      <c r="G61" s="16"/>
      <c r="H61" s="17"/>
      <c r="I61" s="17"/>
      <c r="J61" s="17"/>
      <c r="K61" s="17"/>
      <c r="L61" s="16"/>
      <c r="M61" s="17"/>
      <c r="N61" s="16"/>
      <c r="O61" s="17"/>
      <c r="P61" s="15"/>
      <c r="Q61" s="17"/>
      <c r="R61" s="17"/>
      <c r="S61" s="17"/>
      <c r="T61" s="17"/>
      <c r="U61" s="18" t="str">
        <f aca="false">IF(A61="","",IF(N(G61)-N(L61)-N(N61)&lt;0,"Check shares",IF(AND(P61&lt;&gt;"",Q61&lt;&gt;""),"Closed","Open")))</f>
        <v/>
      </c>
      <c r="V61" s="19" t="str">
        <f aca="false">IF(OR(F61="",P61=""),"",NETWORKDAYS(F61,P61,Lists!$F$5:$F$40)-1)</f>
        <v/>
      </c>
      <c r="W61" s="18" t="str">
        <f aca="false">IF(V61="","",IF(V61=0,"Same day","Overnight"))</f>
        <v/>
      </c>
      <c r="X61" s="18" t="str">
        <f aca="false">IF(OR(E61="",F61=""),"",IF(AND(E61&gt;=F61,OR(P61="",E61&lt;=P61)),"Yes","No"))</f>
        <v/>
      </c>
      <c r="Y61" s="20" t="str">
        <f aca="false">IF(A61="","",N(G61)-N(L61)-N(N61))</f>
        <v/>
      </c>
      <c r="Z61" s="21" t="str">
        <f aca="false">IF(OR(G61="",H61="",I61=""),"",ABS(H61-I61)*G61)</f>
        <v/>
      </c>
      <c r="AA61" s="22" t="str">
        <f aca="false">IF(OR(J61="",N(Z61)=0),"",ABS(J61-H61)/ABS(H61-I61))</f>
        <v/>
      </c>
      <c r="AB61" s="23" t="str">
        <f aca="false">IF(U61&lt;&gt;"Closed","",(N(L61)*N(M61)+N(N61)*N(O61)+Y61*Q61)/G61)</f>
        <v/>
      </c>
      <c r="AC61" s="24" t="str">
        <f aca="false">IF(U61&lt;&gt;"Closed","",IF($B61="Short",-1,1)*((N(M61)-H61)*N(L61)+(N(O61)-H61)*N(N61)+(Q61-H61)*Y61)-N(R61))</f>
        <v/>
      </c>
      <c r="AD61" s="25" t="str">
        <f aca="false">IF(OR(AC61="",N(Z61)=0),"",AC61/Z61)</f>
        <v/>
      </c>
      <c r="AE61" s="25" t="str">
        <f aca="false">IF(OR(S61="",N(Z61)=0),"",IF($B61="Short",-1,1)*(S61-H61)*G61/Z61)</f>
        <v/>
      </c>
      <c r="AF61" s="25" t="str">
        <f aca="false">IF(OR(T61="",N(Z61)=0),"",IF($B61="Short",-1,1)*(T61-H61)*G61/Z61)</f>
        <v/>
      </c>
      <c r="AG61" s="21" t="str">
        <f aca="false">IF(U61&lt;&gt;"Open","",Y61*MAX(0,IF($B61="Short",-1,1)*(H61-IF(K61="",I61,K61))))</f>
        <v/>
      </c>
      <c r="AH61" s="26" t="str">
        <f aca="false">IF(U61&lt;&gt;"Closed","",DATE(YEAR(P61),MONTH(P61),1))</f>
        <v/>
      </c>
      <c r="AI61" s="19" t="str">
        <f aca="false">IF(U61&lt;&gt;"Closed","",COUNTIFS($U$7:$U$506,"Closed",$P$7:$P$506,"&lt;"&amp;P61)+COUNTIFS($U$7:U61,"Closed",$P$7:P61,P61))</f>
        <v/>
      </c>
    </row>
    <row r="62" customFormat="false" ht="15" hidden="false" customHeight="false" outlineLevel="0" collapsed="false">
      <c r="A62" s="13"/>
      <c r="B62" s="48"/>
      <c r="C62" s="48"/>
      <c r="D62" s="48"/>
      <c r="E62" s="15"/>
      <c r="F62" s="15"/>
      <c r="G62" s="16"/>
      <c r="H62" s="17"/>
      <c r="I62" s="17"/>
      <c r="J62" s="17"/>
      <c r="K62" s="17"/>
      <c r="L62" s="16"/>
      <c r="M62" s="17"/>
      <c r="N62" s="16"/>
      <c r="O62" s="17"/>
      <c r="P62" s="15"/>
      <c r="Q62" s="17"/>
      <c r="R62" s="17"/>
      <c r="S62" s="17"/>
      <c r="T62" s="17"/>
      <c r="U62" s="18" t="str">
        <f aca="false">IF(A62="","",IF(N(G62)-N(L62)-N(N62)&lt;0,"Check shares",IF(AND(P62&lt;&gt;"",Q62&lt;&gt;""),"Closed","Open")))</f>
        <v/>
      </c>
      <c r="V62" s="19" t="str">
        <f aca="false">IF(OR(F62="",P62=""),"",NETWORKDAYS(F62,P62,Lists!$F$5:$F$40)-1)</f>
        <v/>
      </c>
      <c r="W62" s="18" t="str">
        <f aca="false">IF(V62="","",IF(V62=0,"Same day","Overnight"))</f>
        <v/>
      </c>
      <c r="X62" s="18" t="str">
        <f aca="false">IF(OR(E62="",F62=""),"",IF(AND(E62&gt;=F62,OR(P62="",E62&lt;=P62)),"Yes","No"))</f>
        <v/>
      </c>
      <c r="Y62" s="20" t="str">
        <f aca="false">IF(A62="","",N(G62)-N(L62)-N(N62))</f>
        <v/>
      </c>
      <c r="Z62" s="21" t="str">
        <f aca="false">IF(OR(G62="",H62="",I62=""),"",ABS(H62-I62)*G62)</f>
        <v/>
      </c>
      <c r="AA62" s="22" t="str">
        <f aca="false">IF(OR(J62="",N(Z62)=0),"",ABS(J62-H62)/ABS(H62-I62))</f>
        <v/>
      </c>
      <c r="AB62" s="23" t="str">
        <f aca="false">IF(U62&lt;&gt;"Closed","",(N(L62)*N(M62)+N(N62)*N(O62)+Y62*Q62)/G62)</f>
        <v/>
      </c>
      <c r="AC62" s="24" t="str">
        <f aca="false">IF(U62&lt;&gt;"Closed","",IF($B62="Short",-1,1)*((N(M62)-H62)*N(L62)+(N(O62)-H62)*N(N62)+(Q62-H62)*Y62)-N(R62))</f>
        <v/>
      </c>
      <c r="AD62" s="25" t="str">
        <f aca="false">IF(OR(AC62="",N(Z62)=0),"",AC62/Z62)</f>
        <v/>
      </c>
      <c r="AE62" s="25" t="str">
        <f aca="false">IF(OR(S62="",N(Z62)=0),"",IF($B62="Short",-1,1)*(S62-H62)*G62/Z62)</f>
        <v/>
      </c>
      <c r="AF62" s="25" t="str">
        <f aca="false">IF(OR(T62="",N(Z62)=0),"",IF($B62="Short",-1,1)*(T62-H62)*G62/Z62)</f>
        <v/>
      </c>
      <c r="AG62" s="21" t="str">
        <f aca="false">IF(U62&lt;&gt;"Open","",Y62*MAX(0,IF($B62="Short",-1,1)*(H62-IF(K62="",I62,K62))))</f>
        <v/>
      </c>
      <c r="AH62" s="26" t="str">
        <f aca="false">IF(U62&lt;&gt;"Closed","",DATE(YEAR(P62),MONTH(P62),1))</f>
        <v/>
      </c>
      <c r="AI62" s="19" t="str">
        <f aca="false">IF(U62&lt;&gt;"Closed","",COUNTIFS($U$7:$U$506,"Closed",$P$7:$P$506,"&lt;"&amp;P62)+COUNTIFS($U$7:U62,"Closed",$P$7:P62,P62))</f>
        <v/>
      </c>
    </row>
    <row r="63" customFormat="false" ht="15" hidden="false" customHeight="false" outlineLevel="0" collapsed="false">
      <c r="A63" s="13"/>
      <c r="B63" s="48"/>
      <c r="C63" s="48"/>
      <c r="D63" s="48"/>
      <c r="E63" s="15"/>
      <c r="F63" s="15"/>
      <c r="G63" s="16"/>
      <c r="H63" s="17"/>
      <c r="I63" s="17"/>
      <c r="J63" s="17"/>
      <c r="K63" s="17"/>
      <c r="L63" s="16"/>
      <c r="M63" s="17"/>
      <c r="N63" s="16"/>
      <c r="O63" s="17"/>
      <c r="P63" s="15"/>
      <c r="Q63" s="17"/>
      <c r="R63" s="17"/>
      <c r="S63" s="17"/>
      <c r="T63" s="17"/>
      <c r="U63" s="18" t="str">
        <f aca="false">IF(A63="","",IF(N(G63)-N(L63)-N(N63)&lt;0,"Check shares",IF(AND(P63&lt;&gt;"",Q63&lt;&gt;""),"Closed","Open")))</f>
        <v/>
      </c>
      <c r="V63" s="19" t="str">
        <f aca="false">IF(OR(F63="",P63=""),"",NETWORKDAYS(F63,P63,Lists!$F$5:$F$40)-1)</f>
        <v/>
      </c>
      <c r="W63" s="18" t="str">
        <f aca="false">IF(V63="","",IF(V63=0,"Same day","Overnight"))</f>
        <v/>
      </c>
      <c r="X63" s="18" t="str">
        <f aca="false">IF(OR(E63="",F63=""),"",IF(AND(E63&gt;=F63,OR(P63="",E63&lt;=P63)),"Yes","No"))</f>
        <v/>
      </c>
      <c r="Y63" s="20" t="str">
        <f aca="false">IF(A63="","",N(G63)-N(L63)-N(N63))</f>
        <v/>
      </c>
      <c r="Z63" s="21" t="str">
        <f aca="false">IF(OR(G63="",H63="",I63=""),"",ABS(H63-I63)*G63)</f>
        <v/>
      </c>
      <c r="AA63" s="22" t="str">
        <f aca="false">IF(OR(J63="",N(Z63)=0),"",ABS(J63-H63)/ABS(H63-I63))</f>
        <v/>
      </c>
      <c r="AB63" s="23" t="str">
        <f aca="false">IF(U63&lt;&gt;"Closed","",(N(L63)*N(M63)+N(N63)*N(O63)+Y63*Q63)/G63)</f>
        <v/>
      </c>
      <c r="AC63" s="24" t="str">
        <f aca="false">IF(U63&lt;&gt;"Closed","",IF($B63="Short",-1,1)*((N(M63)-H63)*N(L63)+(N(O63)-H63)*N(N63)+(Q63-H63)*Y63)-N(R63))</f>
        <v/>
      </c>
      <c r="AD63" s="25" t="str">
        <f aca="false">IF(OR(AC63="",N(Z63)=0),"",AC63/Z63)</f>
        <v/>
      </c>
      <c r="AE63" s="25" t="str">
        <f aca="false">IF(OR(S63="",N(Z63)=0),"",IF($B63="Short",-1,1)*(S63-H63)*G63/Z63)</f>
        <v/>
      </c>
      <c r="AF63" s="25" t="str">
        <f aca="false">IF(OR(T63="",N(Z63)=0),"",IF($B63="Short",-1,1)*(T63-H63)*G63/Z63)</f>
        <v/>
      </c>
      <c r="AG63" s="21" t="str">
        <f aca="false">IF(U63&lt;&gt;"Open","",Y63*MAX(0,IF($B63="Short",-1,1)*(H63-IF(K63="",I63,K63))))</f>
        <v/>
      </c>
      <c r="AH63" s="26" t="str">
        <f aca="false">IF(U63&lt;&gt;"Closed","",DATE(YEAR(P63),MONTH(P63),1))</f>
        <v/>
      </c>
      <c r="AI63" s="19" t="str">
        <f aca="false">IF(U63&lt;&gt;"Closed","",COUNTIFS($U$7:$U$506,"Closed",$P$7:$P$506,"&lt;"&amp;P63)+COUNTIFS($U$7:U63,"Closed",$P$7:P63,P63))</f>
        <v/>
      </c>
    </row>
    <row r="64" customFormat="false" ht="15" hidden="false" customHeight="false" outlineLevel="0" collapsed="false">
      <c r="A64" s="13"/>
      <c r="B64" s="48"/>
      <c r="C64" s="48"/>
      <c r="D64" s="48"/>
      <c r="E64" s="15"/>
      <c r="F64" s="15"/>
      <c r="G64" s="16"/>
      <c r="H64" s="17"/>
      <c r="I64" s="17"/>
      <c r="J64" s="17"/>
      <c r="K64" s="17"/>
      <c r="L64" s="16"/>
      <c r="M64" s="17"/>
      <c r="N64" s="16"/>
      <c r="O64" s="17"/>
      <c r="P64" s="15"/>
      <c r="Q64" s="17"/>
      <c r="R64" s="17"/>
      <c r="S64" s="17"/>
      <c r="T64" s="17"/>
      <c r="U64" s="18" t="str">
        <f aca="false">IF(A64="","",IF(N(G64)-N(L64)-N(N64)&lt;0,"Check shares",IF(AND(P64&lt;&gt;"",Q64&lt;&gt;""),"Closed","Open")))</f>
        <v/>
      </c>
      <c r="V64" s="19" t="str">
        <f aca="false">IF(OR(F64="",P64=""),"",NETWORKDAYS(F64,P64,Lists!$F$5:$F$40)-1)</f>
        <v/>
      </c>
      <c r="W64" s="18" t="str">
        <f aca="false">IF(V64="","",IF(V64=0,"Same day","Overnight"))</f>
        <v/>
      </c>
      <c r="X64" s="18" t="str">
        <f aca="false">IF(OR(E64="",F64=""),"",IF(AND(E64&gt;=F64,OR(P64="",E64&lt;=P64)),"Yes","No"))</f>
        <v/>
      </c>
      <c r="Y64" s="20" t="str">
        <f aca="false">IF(A64="","",N(G64)-N(L64)-N(N64))</f>
        <v/>
      </c>
      <c r="Z64" s="21" t="str">
        <f aca="false">IF(OR(G64="",H64="",I64=""),"",ABS(H64-I64)*G64)</f>
        <v/>
      </c>
      <c r="AA64" s="22" t="str">
        <f aca="false">IF(OR(J64="",N(Z64)=0),"",ABS(J64-H64)/ABS(H64-I64))</f>
        <v/>
      </c>
      <c r="AB64" s="23" t="str">
        <f aca="false">IF(U64&lt;&gt;"Closed","",(N(L64)*N(M64)+N(N64)*N(O64)+Y64*Q64)/G64)</f>
        <v/>
      </c>
      <c r="AC64" s="24" t="str">
        <f aca="false">IF(U64&lt;&gt;"Closed","",IF($B64="Short",-1,1)*((N(M64)-H64)*N(L64)+(N(O64)-H64)*N(N64)+(Q64-H64)*Y64)-N(R64))</f>
        <v/>
      </c>
      <c r="AD64" s="25" t="str">
        <f aca="false">IF(OR(AC64="",N(Z64)=0),"",AC64/Z64)</f>
        <v/>
      </c>
      <c r="AE64" s="25" t="str">
        <f aca="false">IF(OR(S64="",N(Z64)=0),"",IF($B64="Short",-1,1)*(S64-H64)*G64/Z64)</f>
        <v/>
      </c>
      <c r="AF64" s="25" t="str">
        <f aca="false">IF(OR(T64="",N(Z64)=0),"",IF($B64="Short",-1,1)*(T64-H64)*G64/Z64)</f>
        <v/>
      </c>
      <c r="AG64" s="21" t="str">
        <f aca="false">IF(U64&lt;&gt;"Open","",Y64*MAX(0,IF($B64="Short",-1,1)*(H64-IF(K64="",I64,K64))))</f>
        <v/>
      </c>
      <c r="AH64" s="26" t="str">
        <f aca="false">IF(U64&lt;&gt;"Closed","",DATE(YEAR(P64),MONTH(P64),1))</f>
        <v/>
      </c>
      <c r="AI64" s="19" t="str">
        <f aca="false">IF(U64&lt;&gt;"Closed","",COUNTIFS($U$7:$U$506,"Closed",$P$7:$P$506,"&lt;"&amp;P64)+COUNTIFS($U$7:U64,"Closed",$P$7:P64,P64))</f>
        <v/>
      </c>
    </row>
    <row r="65" customFormat="false" ht="15" hidden="false" customHeight="false" outlineLevel="0" collapsed="false">
      <c r="A65" s="13"/>
      <c r="B65" s="48"/>
      <c r="C65" s="48"/>
      <c r="D65" s="48"/>
      <c r="E65" s="15"/>
      <c r="F65" s="15"/>
      <c r="G65" s="16"/>
      <c r="H65" s="17"/>
      <c r="I65" s="17"/>
      <c r="J65" s="17"/>
      <c r="K65" s="17"/>
      <c r="L65" s="16"/>
      <c r="M65" s="17"/>
      <c r="N65" s="16"/>
      <c r="O65" s="17"/>
      <c r="P65" s="15"/>
      <c r="Q65" s="17"/>
      <c r="R65" s="17"/>
      <c r="S65" s="17"/>
      <c r="T65" s="17"/>
      <c r="U65" s="18" t="str">
        <f aca="false">IF(A65="","",IF(N(G65)-N(L65)-N(N65)&lt;0,"Check shares",IF(AND(P65&lt;&gt;"",Q65&lt;&gt;""),"Closed","Open")))</f>
        <v/>
      </c>
      <c r="V65" s="19" t="str">
        <f aca="false">IF(OR(F65="",P65=""),"",NETWORKDAYS(F65,P65,Lists!$F$5:$F$40)-1)</f>
        <v/>
      </c>
      <c r="W65" s="18" t="str">
        <f aca="false">IF(V65="","",IF(V65=0,"Same day","Overnight"))</f>
        <v/>
      </c>
      <c r="X65" s="18" t="str">
        <f aca="false">IF(OR(E65="",F65=""),"",IF(AND(E65&gt;=F65,OR(P65="",E65&lt;=P65)),"Yes","No"))</f>
        <v/>
      </c>
      <c r="Y65" s="20" t="str">
        <f aca="false">IF(A65="","",N(G65)-N(L65)-N(N65))</f>
        <v/>
      </c>
      <c r="Z65" s="21" t="str">
        <f aca="false">IF(OR(G65="",H65="",I65=""),"",ABS(H65-I65)*G65)</f>
        <v/>
      </c>
      <c r="AA65" s="22" t="str">
        <f aca="false">IF(OR(J65="",N(Z65)=0),"",ABS(J65-H65)/ABS(H65-I65))</f>
        <v/>
      </c>
      <c r="AB65" s="23" t="str">
        <f aca="false">IF(U65&lt;&gt;"Closed","",(N(L65)*N(M65)+N(N65)*N(O65)+Y65*Q65)/G65)</f>
        <v/>
      </c>
      <c r="AC65" s="24" t="str">
        <f aca="false">IF(U65&lt;&gt;"Closed","",IF($B65="Short",-1,1)*((N(M65)-H65)*N(L65)+(N(O65)-H65)*N(N65)+(Q65-H65)*Y65)-N(R65))</f>
        <v/>
      </c>
      <c r="AD65" s="25" t="str">
        <f aca="false">IF(OR(AC65="",N(Z65)=0),"",AC65/Z65)</f>
        <v/>
      </c>
      <c r="AE65" s="25" t="str">
        <f aca="false">IF(OR(S65="",N(Z65)=0),"",IF($B65="Short",-1,1)*(S65-H65)*G65/Z65)</f>
        <v/>
      </c>
      <c r="AF65" s="25" t="str">
        <f aca="false">IF(OR(T65="",N(Z65)=0),"",IF($B65="Short",-1,1)*(T65-H65)*G65/Z65)</f>
        <v/>
      </c>
      <c r="AG65" s="21" t="str">
        <f aca="false">IF(U65&lt;&gt;"Open","",Y65*MAX(0,IF($B65="Short",-1,1)*(H65-IF(K65="",I65,K65))))</f>
        <v/>
      </c>
      <c r="AH65" s="26" t="str">
        <f aca="false">IF(U65&lt;&gt;"Closed","",DATE(YEAR(P65),MONTH(P65),1))</f>
        <v/>
      </c>
      <c r="AI65" s="19" t="str">
        <f aca="false">IF(U65&lt;&gt;"Closed","",COUNTIFS($U$7:$U$506,"Closed",$P$7:$P$506,"&lt;"&amp;P65)+COUNTIFS($U$7:U65,"Closed",$P$7:P65,P65))</f>
        <v/>
      </c>
    </row>
    <row r="66" customFormat="false" ht="15" hidden="false" customHeight="false" outlineLevel="0" collapsed="false">
      <c r="A66" s="13"/>
      <c r="B66" s="48"/>
      <c r="C66" s="48"/>
      <c r="D66" s="48"/>
      <c r="E66" s="15"/>
      <c r="F66" s="15"/>
      <c r="G66" s="16"/>
      <c r="H66" s="17"/>
      <c r="I66" s="17"/>
      <c r="J66" s="17"/>
      <c r="K66" s="17"/>
      <c r="L66" s="16"/>
      <c r="M66" s="17"/>
      <c r="N66" s="16"/>
      <c r="O66" s="17"/>
      <c r="P66" s="15"/>
      <c r="Q66" s="17"/>
      <c r="R66" s="17"/>
      <c r="S66" s="17"/>
      <c r="T66" s="17"/>
      <c r="U66" s="18" t="str">
        <f aca="false">IF(A66="","",IF(N(G66)-N(L66)-N(N66)&lt;0,"Check shares",IF(AND(P66&lt;&gt;"",Q66&lt;&gt;""),"Closed","Open")))</f>
        <v/>
      </c>
      <c r="V66" s="19" t="str">
        <f aca="false">IF(OR(F66="",P66=""),"",NETWORKDAYS(F66,P66,Lists!$F$5:$F$40)-1)</f>
        <v/>
      </c>
      <c r="W66" s="18" t="str">
        <f aca="false">IF(V66="","",IF(V66=0,"Same day","Overnight"))</f>
        <v/>
      </c>
      <c r="X66" s="18" t="str">
        <f aca="false">IF(OR(E66="",F66=""),"",IF(AND(E66&gt;=F66,OR(P66="",E66&lt;=P66)),"Yes","No"))</f>
        <v/>
      </c>
      <c r="Y66" s="20" t="str">
        <f aca="false">IF(A66="","",N(G66)-N(L66)-N(N66))</f>
        <v/>
      </c>
      <c r="Z66" s="21" t="str">
        <f aca="false">IF(OR(G66="",H66="",I66=""),"",ABS(H66-I66)*G66)</f>
        <v/>
      </c>
      <c r="AA66" s="22" t="str">
        <f aca="false">IF(OR(J66="",N(Z66)=0),"",ABS(J66-H66)/ABS(H66-I66))</f>
        <v/>
      </c>
      <c r="AB66" s="23" t="str">
        <f aca="false">IF(U66&lt;&gt;"Closed","",(N(L66)*N(M66)+N(N66)*N(O66)+Y66*Q66)/G66)</f>
        <v/>
      </c>
      <c r="AC66" s="24" t="str">
        <f aca="false">IF(U66&lt;&gt;"Closed","",IF($B66="Short",-1,1)*((N(M66)-H66)*N(L66)+(N(O66)-H66)*N(N66)+(Q66-H66)*Y66)-N(R66))</f>
        <v/>
      </c>
      <c r="AD66" s="25" t="str">
        <f aca="false">IF(OR(AC66="",N(Z66)=0),"",AC66/Z66)</f>
        <v/>
      </c>
      <c r="AE66" s="25" t="str">
        <f aca="false">IF(OR(S66="",N(Z66)=0),"",IF($B66="Short",-1,1)*(S66-H66)*G66/Z66)</f>
        <v/>
      </c>
      <c r="AF66" s="25" t="str">
        <f aca="false">IF(OR(T66="",N(Z66)=0),"",IF($B66="Short",-1,1)*(T66-H66)*G66/Z66)</f>
        <v/>
      </c>
      <c r="AG66" s="21" t="str">
        <f aca="false">IF(U66&lt;&gt;"Open","",Y66*MAX(0,IF($B66="Short",-1,1)*(H66-IF(K66="",I66,K66))))</f>
        <v/>
      </c>
      <c r="AH66" s="26" t="str">
        <f aca="false">IF(U66&lt;&gt;"Closed","",DATE(YEAR(P66),MONTH(P66),1))</f>
        <v/>
      </c>
      <c r="AI66" s="19" t="str">
        <f aca="false">IF(U66&lt;&gt;"Closed","",COUNTIFS($U$7:$U$506,"Closed",$P$7:$P$506,"&lt;"&amp;P66)+COUNTIFS($U$7:U66,"Closed",$P$7:P66,P66))</f>
        <v/>
      </c>
    </row>
    <row r="67" customFormat="false" ht="15" hidden="false" customHeight="false" outlineLevel="0" collapsed="false">
      <c r="A67" s="13"/>
      <c r="B67" s="48"/>
      <c r="C67" s="48"/>
      <c r="D67" s="48"/>
      <c r="E67" s="15"/>
      <c r="F67" s="15"/>
      <c r="G67" s="16"/>
      <c r="H67" s="17"/>
      <c r="I67" s="17"/>
      <c r="J67" s="17"/>
      <c r="K67" s="17"/>
      <c r="L67" s="16"/>
      <c r="M67" s="17"/>
      <c r="N67" s="16"/>
      <c r="O67" s="17"/>
      <c r="P67" s="15"/>
      <c r="Q67" s="17"/>
      <c r="R67" s="17"/>
      <c r="S67" s="17"/>
      <c r="T67" s="17"/>
      <c r="U67" s="18" t="str">
        <f aca="false">IF(A67="","",IF(N(G67)-N(L67)-N(N67)&lt;0,"Check shares",IF(AND(P67&lt;&gt;"",Q67&lt;&gt;""),"Closed","Open")))</f>
        <v/>
      </c>
      <c r="V67" s="19" t="str">
        <f aca="false">IF(OR(F67="",P67=""),"",NETWORKDAYS(F67,P67,Lists!$F$5:$F$40)-1)</f>
        <v/>
      </c>
      <c r="W67" s="18" t="str">
        <f aca="false">IF(V67="","",IF(V67=0,"Same day","Overnight"))</f>
        <v/>
      </c>
      <c r="X67" s="18" t="str">
        <f aca="false">IF(OR(E67="",F67=""),"",IF(AND(E67&gt;=F67,OR(P67="",E67&lt;=P67)),"Yes","No"))</f>
        <v/>
      </c>
      <c r="Y67" s="20" t="str">
        <f aca="false">IF(A67="","",N(G67)-N(L67)-N(N67))</f>
        <v/>
      </c>
      <c r="Z67" s="21" t="str">
        <f aca="false">IF(OR(G67="",H67="",I67=""),"",ABS(H67-I67)*G67)</f>
        <v/>
      </c>
      <c r="AA67" s="22" t="str">
        <f aca="false">IF(OR(J67="",N(Z67)=0),"",ABS(J67-H67)/ABS(H67-I67))</f>
        <v/>
      </c>
      <c r="AB67" s="23" t="str">
        <f aca="false">IF(U67&lt;&gt;"Closed","",(N(L67)*N(M67)+N(N67)*N(O67)+Y67*Q67)/G67)</f>
        <v/>
      </c>
      <c r="AC67" s="24" t="str">
        <f aca="false">IF(U67&lt;&gt;"Closed","",IF($B67="Short",-1,1)*((N(M67)-H67)*N(L67)+(N(O67)-H67)*N(N67)+(Q67-H67)*Y67)-N(R67))</f>
        <v/>
      </c>
      <c r="AD67" s="25" t="str">
        <f aca="false">IF(OR(AC67="",N(Z67)=0),"",AC67/Z67)</f>
        <v/>
      </c>
      <c r="AE67" s="25" t="str">
        <f aca="false">IF(OR(S67="",N(Z67)=0),"",IF($B67="Short",-1,1)*(S67-H67)*G67/Z67)</f>
        <v/>
      </c>
      <c r="AF67" s="25" t="str">
        <f aca="false">IF(OR(T67="",N(Z67)=0),"",IF($B67="Short",-1,1)*(T67-H67)*G67/Z67)</f>
        <v/>
      </c>
      <c r="AG67" s="21" t="str">
        <f aca="false">IF(U67&lt;&gt;"Open","",Y67*MAX(0,IF($B67="Short",-1,1)*(H67-IF(K67="",I67,K67))))</f>
        <v/>
      </c>
      <c r="AH67" s="26" t="str">
        <f aca="false">IF(U67&lt;&gt;"Closed","",DATE(YEAR(P67),MONTH(P67),1))</f>
        <v/>
      </c>
      <c r="AI67" s="19" t="str">
        <f aca="false">IF(U67&lt;&gt;"Closed","",COUNTIFS($U$7:$U$506,"Closed",$P$7:$P$506,"&lt;"&amp;P67)+COUNTIFS($U$7:U67,"Closed",$P$7:P67,P67))</f>
        <v/>
      </c>
    </row>
    <row r="68" customFormat="false" ht="15" hidden="false" customHeight="false" outlineLevel="0" collapsed="false">
      <c r="A68" s="13"/>
      <c r="B68" s="48"/>
      <c r="C68" s="48"/>
      <c r="D68" s="48"/>
      <c r="E68" s="15"/>
      <c r="F68" s="15"/>
      <c r="G68" s="16"/>
      <c r="H68" s="17"/>
      <c r="I68" s="17"/>
      <c r="J68" s="17"/>
      <c r="K68" s="17"/>
      <c r="L68" s="16"/>
      <c r="M68" s="17"/>
      <c r="N68" s="16"/>
      <c r="O68" s="17"/>
      <c r="P68" s="15"/>
      <c r="Q68" s="17"/>
      <c r="R68" s="17"/>
      <c r="S68" s="17"/>
      <c r="T68" s="17"/>
      <c r="U68" s="18" t="str">
        <f aca="false">IF(A68="","",IF(N(G68)-N(L68)-N(N68)&lt;0,"Check shares",IF(AND(P68&lt;&gt;"",Q68&lt;&gt;""),"Closed","Open")))</f>
        <v/>
      </c>
      <c r="V68" s="19" t="str">
        <f aca="false">IF(OR(F68="",P68=""),"",NETWORKDAYS(F68,P68,Lists!$F$5:$F$40)-1)</f>
        <v/>
      </c>
      <c r="W68" s="18" t="str">
        <f aca="false">IF(V68="","",IF(V68=0,"Same day","Overnight"))</f>
        <v/>
      </c>
      <c r="X68" s="18" t="str">
        <f aca="false">IF(OR(E68="",F68=""),"",IF(AND(E68&gt;=F68,OR(P68="",E68&lt;=P68)),"Yes","No"))</f>
        <v/>
      </c>
      <c r="Y68" s="20" t="str">
        <f aca="false">IF(A68="","",N(G68)-N(L68)-N(N68))</f>
        <v/>
      </c>
      <c r="Z68" s="21" t="str">
        <f aca="false">IF(OR(G68="",H68="",I68=""),"",ABS(H68-I68)*G68)</f>
        <v/>
      </c>
      <c r="AA68" s="22" t="str">
        <f aca="false">IF(OR(J68="",N(Z68)=0),"",ABS(J68-H68)/ABS(H68-I68))</f>
        <v/>
      </c>
      <c r="AB68" s="23" t="str">
        <f aca="false">IF(U68&lt;&gt;"Closed","",(N(L68)*N(M68)+N(N68)*N(O68)+Y68*Q68)/G68)</f>
        <v/>
      </c>
      <c r="AC68" s="24" t="str">
        <f aca="false">IF(U68&lt;&gt;"Closed","",IF($B68="Short",-1,1)*((N(M68)-H68)*N(L68)+(N(O68)-H68)*N(N68)+(Q68-H68)*Y68)-N(R68))</f>
        <v/>
      </c>
      <c r="AD68" s="25" t="str">
        <f aca="false">IF(OR(AC68="",N(Z68)=0),"",AC68/Z68)</f>
        <v/>
      </c>
      <c r="AE68" s="25" t="str">
        <f aca="false">IF(OR(S68="",N(Z68)=0),"",IF($B68="Short",-1,1)*(S68-H68)*G68/Z68)</f>
        <v/>
      </c>
      <c r="AF68" s="25" t="str">
        <f aca="false">IF(OR(T68="",N(Z68)=0),"",IF($B68="Short",-1,1)*(T68-H68)*G68/Z68)</f>
        <v/>
      </c>
      <c r="AG68" s="21" t="str">
        <f aca="false">IF(U68&lt;&gt;"Open","",Y68*MAX(0,IF($B68="Short",-1,1)*(H68-IF(K68="",I68,K68))))</f>
        <v/>
      </c>
      <c r="AH68" s="26" t="str">
        <f aca="false">IF(U68&lt;&gt;"Closed","",DATE(YEAR(P68),MONTH(P68),1))</f>
        <v/>
      </c>
      <c r="AI68" s="19" t="str">
        <f aca="false">IF(U68&lt;&gt;"Closed","",COUNTIFS($U$7:$U$506,"Closed",$P$7:$P$506,"&lt;"&amp;P68)+COUNTIFS($U$7:U68,"Closed",$P$7:P68,P68))</f>
        <v/>
      </c>
    </row>
    <row r="69" customFormat="false" ht="15" hidden="false" customHeight="false" outlineLevel="0" collapsed="false">
      <c r="A69" s="13"/>
      <c r="B69" s="48"/>
      <c r="C69" s="48"/>
      <c r="D69" s="48"/>
      <c r="E69" s="15"/>
      <c r="F69" s="15"/>
      <c r="G69" s="16"/>
      <c r="H69" s="17"/>
      <c r="I69" s="17"/>
      <c r="J69" s="17"/>
      <c r="K69" s="17"/>
      <c r="L69" s="16"/>
      <c r="M69" s="17"/>
      <c r="N69" s="16"/>
      <c r="O69" s="17"/>
      <c r="P69" s="15"/>
      <c r="Q69" s="17"/>
      <c r="R69" s="17"/>
      <c r="S69" s="17"/>
      <c r="T69" s="17"/>
      <c r="U69" s="18" t="str">
        <f aca="false">IF(A69="","",IF(N(G69)-N(L69)-N(N69)&lt;0,"Check shares",IF(AND(P69&lt;&gt;"",Q69&lt;&gt;""),"Closed","Open")))</f>
        <v/>
      </c>
      <c r="V69" s="19" t="str">
        <f aca="false">IF(OR(F69="",P69=""),"",NETWORKDAYS(F69,P69,Lists!$F$5:$F$40)-1)</f>
        <v/>
      </c>
      <c r="W69" s="18" t="str">
        <f aca="false">IF(V69="","",IF(V69=0,"Same day","Overnight"))</f>
        <v/>
      </c>
      <c r="X69" s="18" t="str">
        <f aca="false">IF(OR(E69="",F69=""),"",IF(AND(E69&gt;=F69,OR(P69="",E69&lt;=P69)),"Yes","No"))</f>
        <v/>
      </c>
      <c r="Y69" s="20" t="str">
        <f aca="false">IF(A69="","",N(G69)-N(L69)-N(N69))</f>
        <v/>
      </c>
      <c r="Z69" s="21" t="str">
        <f aca="false">IF(OR(G69="",H69="",I69=""),"",ABS(H69-I69)*G69)</f>
        <v/>
      </c>
      <c r="AA69" s="22" t="str">
        <f aca="false">IF(OR(J69="",N(Z69)=0),"",ABS(J69-H69)/ABS(H69-I69))</f>
        <v/>
      </c>
      <c r="AB69" s="23" t="str">
        <f aca="false">IF(U69&lt;&gt;"Closed","",(N(L69)*N(M69)+N(N69)*N(O69)+Y69*Q69)/G69)</f>
        <v/>
      </c>
      <c r="AC69" s="24" t="str">
        <f aca="false">IF(U69&lt;&gt;"Closed","",IF($B69="Short",-1,1)*((N(M69)-H69)*N(L69)+(N(O69)-H69)*N(N69)+(Q69-H69)*Y69)-N(R69))</f>
        <v/>
      </c>
      <c r="AD69" s="25" t="str">
        <f aca="false">IF(OR(AC69="",N(Z69)=0),"",AC69/Z69)</f>
        <v/>
      </c>
      <c r="AE69" s="25" t="str">
        <f aca="false">IF(OR(S69="",N(Z69)=0),"",IF($B69="Short",-1,1)*(S69-H69)*G69/Z69)</f>
        <v/>
      </c>
      <c r="AF69" s="25" t="str">
        <f aca="false">IF(OR(T69="",N(Z69)=0),"",IF($B69="Short",-1,1)*(T69-H69)*G69/Z69)</f>
        <v/>
      </c>
      <c r="AG69" s="21" t="str">
        <f aca="false">IF(U69&lt;&gt;"Open","",Y69*MAX(0,IF($B69="Short",-1,1)*(H69-IF(K69="",I69,K69))))</f>
        <v/>
      </c>
      <c r="AH69" s="26" t="str">
        <f aca="false">IF(U69&lt;&gt;"Closed","",DATE(YEAR(P69),MONTH(P69),1))</f>
        <v/>
      </c>
      <c r="AI69" s="19" t="str">
        <f aca="false">IF(U69&lt;&gt;"Closed","",COUNTIFS($U$7:$U$506,"Closed",$P$7:$P$506,"&lt;"&amp;P69)+COUNTIFS($U$7:U69,"Closed",$P$7:P69,P69))</f>
        <v/>
      </c>
    </row>
    <row r="70" customFormat="false" ht="15" hidden="false" customHeight="false" outlineLevel="0" collapsed="false">
      <c r="A70" s="13"/>
      <c r="B70" s="48"/>
      <c r="C70" s="48"/>
      <c r="D70" s="48"/>
      <c r="E70" s="15"/>
      <c r="F70" s="15"/>
      <c r="G70" s="16"/>
      <c r="H70" s="17"/>
      <c r="I70" s="17"/>
      <c r="J70" s="17"/>
      <c r="K70" s="17"/>
      <c r="L70" s="16"/>
      <c r="M70" s="17"/>
      <c r="N70" s="16"/>
      <c r="O70" s="17"/>
      <c r="P70" s="15"/>
      <c r="Q70" s="17"/>
      <c r="R70" s="17"/>
      <c r="S70" s="17"/>
      <c r="T70" s="17"/>
      <c r="U70" s="18" t="str">
        <f aca="false">IF(A70="","",IF(N(G70)-N(L70)-N(N70)&lt;0,"Check shares",IF(AND(P70&lt;&gt;"",Q70&lt;&gt;""),"Closed","Open")))</f>
        <v/>
      </c>
      <c r="V70" s="19" t="str">
        <f aca="false">IF(OR(F70="",P70=""),"",NETWORKDAYS(F70,P70,Lists!$F$5:$F$40)-1)</f>
        <v/>
      </c>
      <c r="W70" s="18" t="str">
        <f aca="false">IF(V70="","",IF(V70=0,"Same day","Overnight"))</f>
        <v/>
      </c>
      <c r="X70" s="18" t="str">
        <f aca="false">IF(OR(E70="",F70=""),"",IF(AND(E70&gt;=F70,OR(P70="",E70&lt;=P70)),"Yes","No"))</f>
        <v/>
      </c>
      <c r="Y70" s="20" t="str">
        <f aca="false">IF(A70="","",N(G70)-N(L70)-N(N70))</f>
        <v/>
      </c>
      <c r="Z70" s="21" t="str">
        <f aca="false">IF(OR(G70="",H70="",I70=""),"",ABS(H70-I70)*G70)</f>
        <v/>
      </c>
      <c r="AA70" s="22" t="str">
        <f aca="false">IF(OR(J70="",N(Z70)=0),"",ABS(J70-H70)/ABS(H70-I70))</f>
        <v/>
      </c>
      <c r="AB70" s="23" t="str">
        <f aca="false">IF(U70&lt;&gt;"Closed","",(N(L70)*N(M70)+N(N70)*N(O70)+Y70*Q70)/G70)</f>
        <v/>
      </c>
      <c r="AC70" s="24" t="str">
        <f aca="false">IF(U70&lt;&gt;"Closed","",IF($B70="Short",-1,1)*((N(M70)-H70)*N(L70)+(N(O70)-H70)*N(N70)+(Q70-H70)*Y70)-N(R70))</f>
        <v/>
      </c>
      <c r="AD70" s="25" t="str">
        <f aca="false">IF(OR(AC70="",N(Z70)=0),"",AC70/Z70)</f>
        <v/>
      </c>
      <c r="AE70" s="25" t="str">
        <f aca="false">IF(OR(S70="",N(Z70)=0),"",IF($B70="Short",-1,1)*(S70-H70)*G70/Z70)</f>
        <v/>
      </c>
      <c r="AF70" s="25" t="str">
        <f aca="false">IF(OR(T70="",N(Z70)=0),"",IF($B70="Short",-1,1)*(T70-H70)*G70/Z70)</f>
        <v/>
      </c>
      <c r="AG70" s="21" t="str">
        <f aca="false">IF(U70&lt;&gt;"Open","",Y70*MAX(0,IF($B70="Short",-1,1)*(H70-IF(K70="",I70,K70))))</f>
        <v/>
      </c>
      <c r="AH70" s="26" t="str">
        <f aca="false">IF(U70&lt;&gt;"Closed","",DATE(YEAR(P70),MONTH(P70),1))</f>
        <v/>
      </c>
      <c r="AI70" s="19" t="str">
        <f aca="false">IF(U70&lt;&gt;"Closed","",COUNTIFS($U$7:$U$506,"Closed",$P$7:$P$506,"&lt;"&amp;P70)+COUNTIFS($U$7:U70,"Closed",$P$7:P70,P70))</f>
        <v/>
      </c>
    </row>
    <row r="71" customFormat="false" ht="15" hidden="false" customHeight="false" outlineLevel="0" collapsed="false">
      <c r="A71" s="13"/>
      <c r="B71" s="48"/>
      <c r="C71" s="48"/>
      <c r="D71" s="48"/>
      <c r="E71" s="15"/>
      <c r="F71" s="15"/>
      <c r="G71" s="16"/>
      <c r="H71" s="17"/>
      <c r="I71" s="17"/>
      <c r="J71" s="17"/>
      <c r="K71" s="17"/>
      <c r="L71" s="16"/>
      <c r="M71" s="17"/>
      <c r="N71" s="16"/>
      <c r="O71" s="17"/>
      <c r="P71" s="15"/>
      <c r="Q71" s="17"/>
      <c r="R71" s="17"/>
      <c r="S71" s="17"/>
      <c r="T71" s="17"/>
      <c r="U71" s="18" t="str">
        <f aca="false">IF(A71="","",IF(N(G71)-N(L71)-N(N71)&lt;0,"Check shares",IF(AND(P71&lt;&gt;"",Q71&lt;&gt;""),"Closed","Open")))</f>
        <v/>
      </c>
      <c r="V71" s="19" t="str">
        <f aca="false">IF(OR(F71="",P71=""),"",NETWORKDAYS(F71,P71,Lists!$F$5:$F$40)-1)</f>
        <v/>
      </c>
      <c r="W71" s="18" t="str">
        <f aca="false">IF(V71="","",IF(V71=0,"Same day","Overnight"))</f>
        <v/>
      </c>
      <c r="X71" s="18" t="str">
        <f aca="false">IF(OR(E71="",F71=""),"",IF(AND(E71&gt;=F71,OR(P71="",E71&lt;=P71)),"Yes","No"))</f>
        <v/>
      </c>
      <c r="Y71" s="20" t="str">
        <f aca="false">IF(A71="","",N(G71)-N(L71)-N(N71))</f>
        <v/>
      </c>
      <c r="Z71" s="21" t="str">
        <f aca="false">IF(OR(G71="",H71="",I71=""),"",ABS(H71-I71)*G71)</f>
        <v/>
      </c>
      <c r="AA71" s="22" t="str">
        <f aca="false">IF(OR(J71="",N(Z71)=0),"",ABS(J71-H71)/ABS(H71-I71))</f>
        <v/>
      </c>
      <c r="AB71" s="23" t="str">
        <f aca="false">IF(U71&lt;&gt;"Closed","",(N(L71)*N(M71)+N(N71)*N(O71)+Y71*Q71)/G71)</f>
        <v/>
      </c>
      <c r="AC71" s="24" t="str">
        <f aca="false">IF(U71&lt;&gt;"Closed","",IF($B71="Short",-1,1)*((N(M71)-H71)*N(L71)+(N(O71)-H71)*N(N71)+(Q71-H71)*Y71)-N(R71))</f>
        <v/>
      </c>
      <c r="AD71" s="25" t="str">
        <f aca="false">IF(OR(AC71="",N(Z71)=0),"",AC71/Z71)</f>
        <v/>
      </c>
      <c r="AE71" s="25" t="str">
        <f aca="false">IF(OR(S71="",N(Z71)=0),"",IF($B71="Short",-1,1)*(S71-H71)*G71/Z71)</f>
        <v/>
      </c>
      <c r="AF71" s="25" t="str">
        <f aca="false">IF(OR(T71="",N(Z71)=0),"",IF($B71="Short",-1,1)*(T71-H71)*G71/Z71)</f>
        <v/>
      </c>
      <c r="AG71" s="21" t="str">
        <f aca="false">IF(U71&lt;&gt;"Open","",Y71*MAX(0,IF($B71="Short",-1,1)*(H71-IF(K71="",I71,K71))))</f>
        <v/>
      </c>
      <c r="AH71" s="26" t="str">
        <f aca="false">IF(U71&lt;&gt;"Closed","",DATE(YEAR(P71),MONTH(P71),1))</f>
        <v/>
      </c>
      <c r="AI71" s="19" t="str">
        <f aca="false">IF(U71&lt;&gt;"Closed","",COUNTIFS($U$7:$U$506,"Closed",$P$7:$P$506,"&lt;"&amp;P71)+COUNTIFS($U$7:U71,"Closed",$P$7:P71,P71))</f>
        <v/>
      </c>
    </row>
    <row r="72" customFormat="false" ht="15" hidden="false" customHeight="false" outlineLevel="0" collapsed="false">
      <c r="A72" s="13"/>
      <c r="B72" s="48"/>
      <c r="C72" s="48"/>
      <c r="D72" s="48"/>
      <c r="E72" s="15"/>
      <c r="F72" s="15"/>
      <c r="G72" s="16"/>
      <c r="H72" s="17"/>
      <c r="I72" s="17"/>
      <c r="J72" s="17"/>
      <c r="K72" s="17"/>
      <c r="L72" s="16"/>
      <c r="M72" s="17"/>
      <c r="N72" s="16"/>
      <c r="O72" s="17"/>
      <c r="P72" s="15"/>
      <c r="Q72" s="17"/>
      <c r="R72" s="17"/>
      <c r="S72" s="17"/>
      <c r="T72" s="17"/>
      <c r="U72" s="18" t="str">
        <f aca="false">IF(A72="","",IF(N(G72)-N(L72)-N(N72)&lt;0,"Check shares",IF(AND(P72&lt;&gt;"",Q72&lt;&gt;""),"Closed","Open")))</f>
        <v/>
      </c>
      <c r="V72" s="19" t="str">
        <f aca="false">IF(OR(F72="",P72=""),"",NETWORKDAYS(F72,P72,Lists!$F$5:$F$40)-1)</f>
        <v/>
      </c>
      <c r="W72" s="18" t="str">
        <f aca="false">IF(V72="","",IF(V72=0,"Same day","Overnight"))</f>
        <v/>
      </c>
      <c r="X72" s="18" t="str">
        <f aca="false">IF(OR(E72="",F72=""),"",IF(AND(E72&gt;=F72,OR(P72="",E72&lt;=P72)),"Yes","No"))</f>
        <v/>
      </c>
      <c r="Y72" s="20" t="str">
        <f aca="false">IF(A72="","",N(G72)-N(L72)-N(N72))</f>
        <v/>
      </c>
      <c r="Z72" s="21" t="str">
        <f aca="false">IF(OR(G72="",H72="",I72=""),"",ABS(H72-I72)*G72)</f>
        <v/>
      </c>
      <c r="AA72" s="22" t="str">
        <f aca="false">IF(OR(J72="",N(Z72)=0),"",ABS(J72-H72)/ABS(H72-I72))</f>
        <v/>
      </c>
      <c r="AB72" s="23" t="str">
        <f aca="false">IF(U72&lt;&gt;"Closed","",(N(L72)*N(M72)+N(N72)*N(O72)+Y72*Q72)/G72)</f>
        <v/>
      </c>
      <c r="AC72" s="24" t="str">
        <f aca="false">IF(U72&lt;&gt;"Closed","",IF($B72="Short",-1,1)*((N(M72)-H72)*N(L72)+(N(O72)-H72)*N(N72)+(Q72-H72)*Y72)-N(R72))</f>
        <v/>
      </c>
      <c r="AD72" s="25" t="str">
        <f aca="false">IF(OR(AC72="",N(Z72)=0),"",AC72/Z72)</f>
        <v/>
      </c>
      <c r="AE72" s="25" t="str">
        <f aca="false">IF(OR(S72="",N(Z72)=0),"",IF($B72="Short",-1,1)*(S72-H72)*G72/Z72)</f>
        <v/>
      </c>
      <c r="AF72" s="25" t="str">
        <f aca="false">IF(OR(T72="",N(Z72)=0),"",IF($B72="Short",-1,1)*(T72-H72)*G72/Z72)</f>
        <v/>
      </c>
      <c r="AG72" s="21" t="str">
        <f aca="false">IF(U72&lt;&gt;"Open","",Y72*MAX(0,IF($B72="Short",-1,1)*(H72-IF(K72="",I72,K72))))</f>
        <v/>
      </c>
      <c r="AH72" s="26" t="str">
        <f aca="false">IF(U72&lt;&gt;"Closed","",DATE(YEAR(P72),MONTH(P72),1))</f>
        <v/>
      </c>
      <c r="AI72" s="19" t="str">
        <f aca="false">IF(U72&lt;&gt;"Closed","",COUNTIFS($U$7:$U$506,"Closed",$P$7:$P$506,"&lt;"&amp;P72)+COUNTIFS($U$7:U72,"Closed",$P$7:P72,P72))</f>
        <v/>
      </c>
    </row>
    <row r="73" customFormat="false" ht="15" hidden="false" customHeight="false" outlineLevel="0" collapsed="false">
      <c r="A73" s="13"/>
      <c r="B73" s="48"/>
      <c r="C73" s="48"/>
      <c r="D73" s="48"/>
      <c r="E73" s="15"/>
      <c r="F73" s="15"/>
      <c r="G73" s="16"/>
      <c r="H73" s="17"/>
      <c r="I73" s="17"/>
      <c r="J73" s="17"/>
      <c r="K73" s="17"/>
      <c r="L73" s="16"/>
      <c r="M73" s="17"/>
      <c r="N73" s="16"/>
      <c r="O73" s="17"/>
      <c r="P73" s="15"/>
      <c r="Q73" s="17"/>
      <c r="R73" s="17"/>
      <c r="S73" s="17"/>
      <c r="T73" s="17"/>
      <c r="U73" s="18" t="str">
        <f aca="false">IF(A73="","",IF(N(G73)-N(L73)-N(N73)&lt;0,"Check shares",IF(AND(P73&lt;&gt;"",Q73&lt;&gt;""),"Closed","Open")))</f>
        <v/>
      </c>
      <c r="V73" s="19" t="str">
        <f aca="false">IF(OR(F73="",P73=""),"",NETWORKDAYS(F73,P73,Lists!$F$5:$F$40)-1)</f>
        <v/>
      </c>
      <c r="W73" s="18" t="str">
        <f aca="false">IF(V73="","",IF(V73=0,"Same day","Overnight"))</f>
        <v/>
      </c>
      <c r="X73" s="18" t="str">
        <f aca="false">IF(OR(E73="",F73=""),"",IF(AND(E73&gt;=F73,OR(P73="",E73&lt;=P73)),"Yes","No"))</f>
        <v/>
      </c>
      <c r="Y73" s="20" t="str">
        <f aca="false">IF(A73="","",N(G73)-N(L73)-N(N73))</f>
        <v/>
      </c>
      <c r="Z73" s="21" t="str">
        <f aca="false">IF(OR(G73="",H73="",I73=""),"",ABS(H73-I73)*G73)</f>
        <v/>
      </c>
      <c r="AA73" s="22" t="str">
        <f aca="false">IF(OR(J73="",N(Z73)=0),"",ABS(J73-H73)/ABS(H73-I73))</f>
        <v/>
      </c>
      <c r="AB73" s="23" t="str">
        <f aca="false">IF(U73&lt;&gt;"Closed","",(N(L73)*N(M73)+N(N73)*N(O73)+Y73*Q73)/G73)</f>
        <v/>
      </c>
      <c r="AC73" s="24" t="str">
        <f aca="false">IF(U73&lt;&gt;"Closed","",IF($B73="Short",-1,1)*((N(M73)-H73)*N(L73)+(N(O73)-H73)*N(N73)+(Q73-H73)*Y73)-N(R73))</f>
        <v/>
      </c>
      <c r="AD73" s="25" t="str">
        <f aca="false">IF(OR(AC73="",N(Z73)=0),"",AC73/Z73)</f>
        <v/>
      </c>
      <c r="AE73" s="25" t="str">
        <f aca="false">IF(OR(S73="",N(Z73)=0),"",IF($B73="Short",-1,1)*(S73-H73)*G73/Z73)</f>
        <v/>
      </c>
      <c r="AF73" s="25" t="str">
        <f aca="false">IF(OR(T73="",N(Z73)=0),"",IF($B73="Short",-1,1)*(T73-H73)*G73/Z73)</f>
        <v/>
      </c>
      <c r="AG73" s="21" t="str">
        <f aca="false">IF(U73&lt;&gt;"Open","",Y73*MAX(0,IF($B73="Short",-1,1)*(H73-IF(K73="",I73,K73))))</f>
        <v/>
      </c>
      <c r="AH73" s="26" t="str">
        <f aca="false">IF(U73&lt;&gt;"Closed","",DATE(YEAR(P73),MONTH(P73),1))</f>
        <v/>
      </c>
      <c r="AI73" s="19" t="str">
        <f aca="false">IF(U73&lt;&gt;"Closed","",COUNTIFS($U$7:$U$506,"Closed",$P$7:$P$506,"&lt;"&amp;P73)+COUNTIFS($U$7:U73,"Closed",$P$7:P73,P73))</f>
        <v/>
      </c>
    </row>
    <row r="74" customFormat="false" ht="15" hidden="false" customHeight="false" outlineLevel="0" collapsed="false">
      <c r="A74" s="13"/>
      <c r="B74" s="48"/>
      <c r="C74" s="48"/>
      <c r="D74" s="48"/>
      <c r="E74" s="15"/>
      <c r="F74" s="15"/>
      <c r="G74" s="16"/>
      <c r="H74" s="17"/>
      <c r="I74" s="17"/>
      <c r="J74" s="17"/>
      <c r="K74" s="17"/>
      <c r="L74" s="16"/>
      <c r="M74" s="17"/>
      <c r="N74" s="16"/>
      <c r="O74" s="17"/>
      <c r="P74" s="15"/>
      <c r="Q74" s="17"/>
      <c r="R74" s="17"/>
      <c r="S74" s="17"/>
      <c r="T74" s="17"/>
      <c r="U74" s="18" t="str">
        <f aca="false">IF(A74="","",IF(N(G74)-N(L74)-N(N74)&lt;0,"Check shares",IF(AND(P74&lt;&gt;"",Q74&lt;&gt;""),"Closed","Open")))</f>
        <v/>
      </c>
      <c r="V74" s="19" t="str">
        <f aca="false">IF(OR(F74="",P74=""),"",NETWORKDAYS(F74,P74,Lists!$F$5:$F$40)-1)</f>
        <v/>
      </c>
      <c r="W74" s="18" t="str">
        <f aca="false">IF(V74="","",IF(V74=0,"Same day","Overnight"))</f>
        <v/>
      </c>
      <c r="X74" s="18" t="str">
        <f aca="false">IF(OR(E74="",F74=""),"",IF(AND(E74&gt;=F74,OR(P74="",E74&lt;=P74)),"Yes","No"))</f>
        <v/>
      </c>
      <c r="Y74" s="20" t="str">
        <f aca="false">IF(A74="","",N(G74)-N(L74)-N(N74))</f>
        <v/>
      </c>
      <c r="Z74" s="21" t="str">
        <f aca="false">IF(OR(G74="",H74="",I74=""),"",ABS(H74-I74)*G74)</f>
        <v/>
      </c>
      <c r="AA74" s="22" t="str">
        <f aca="false">IF(OR(J74="",N(Z74)=0),"",ABS(J74-H74)/ABS(H74-I74))</f>
        <v/>
      </c>
      <c r="AB74" s="23" t="str">
        <f aca="false">IF(U74&lt;&gt;"Closed","",(N(L74)*N(M74)+N(N74)*N(O74)+Y74*Q74)/G74)</f>
        <v/>
      </c>
      <c r="AC74" s="24" t="str">
        <f aca="false">IF(U74&lt;&gt;"Closed","",IF($B74="Short",-1,1)*((N(M74)-H74)*N(L74)+(N(O74)-H74)*N(N74)+(Q74-H74)*Y74)-N(R74))</f>
        <v/>
      </c>
      <c r="AD74" s="25" t="str">
        <f aca="false">IF(OR(AC74="",N(Z74)=0),"",AC74/Z74)</f>
        <v/>
      </c>
      <c r="AE74" s="25" t="str">
        <f aca="false">IF(OR(S74="",N(Z74)=0),"",IF($B74="Short",-1,1)*(S74-H74)*G74/Z74)</f>
        <v/>
      </c>
      <c r="AF74" s="25" t="str">
        <f aca="false">IF(OR(T74="",N(Z74)=0),"",IF($B74="Short",-1,1)*(T74-H74)*G74/Z74)</f>
        <v/>
      </c>
      <c r="AG74" s="21" t="str">
        <f aca="false">IF(U74&lt;&gt;"Open","",Y74*MAX(0,IF($B74="Short",-1,1)*(H74-IF(K74="",I74,K74))))</f>
        <v/>
      </c>
      <c r="AH74" s="26" t="str">
        <f aca="false">IF(U74&lt;&gt;"Closed","",DATE(YEAR(P74),MONTH(P74),1))</f>
        <v/>
      </c>
      <c r="AI74" s="19" t="str">
        <f aca="false">IF(U74&lt;&gt;"Closed","",COUNTIFS($U$7:$U$506,"Closed",$P$7:$P$506,"&lt;"&amp;P74)+COUNTIFS($U$7:U74,"Closed",$P$7:P74,P74))</f>
        <v/>
      </c>
    </row>
    <row r="75" customFormat="false" ht="15" hidden="false" customHeight="false" outlineLevel="0" collapsed="false">
      <c r="A75" s="13"/>
      <c r="B75" s="48"/>
      <c r="C75" s="48"/>
      <c r="D75" s="48"/>
      <c r="E75" s="15"/>
      <c r="F75" s="15"/>
      <c r="G75" s="16"/>
      <c r="H75" s="17"/>
      <c r="I75" s="17"/>
      <c r="J75" s="17"/>
      <c r="K75" s="17"/>
      <c r="L75" s="16"/>
      <c r="M75" s="17"/>
      <c r="N75" s="16"/>
      <c r="O75" s="17"/>
      <c r="P75" s="15"/>
      <c r="Q75" s="17"/>
      <c r="R75" s="17"/>
      <c r="S75" s="17"/>
      <c r="T75" s="17"/>
      <c r="U75" s="18" t="str">
        <f aca="false">IF(A75="","",IF(N(G75)-N(L75)-N(N75)&lt;0,"Check shares",IF(AND(P75&lt;&gt;"",Q75&lt;&gt;""),"Closed","Open")))</f>
        <v/>
      </c>
      <c r="V75" s="19" t="str">
        <f aca="false">IF(OR(F75="",P75=""),"",NETWORKDAYS(F75,P75,Lists!$F$5:$F$40)-1)</f>
        <v/>
      </c>
      <c r="W75" s="18" t="str">
        <f aca="false">IF(V75="","",IF(V75=0,"Same day","Overnight"))</f>
        <v/>
      </c>
      <c r="X75" s="18" t="str">
        <f aca="false">IF(OR(E75="",F75=""),"",IF(AND(E75&gt;=F75,OR(P75="",E75&lt;=P75)),"Yes","No"))</f>
        <v/>
      </c>
      <c r="Y75" s="20" t="str">
        <f aca="false">IF(A75="","",N(G75)-N(L75)-N(N75))</f>
        <v/>
      </c>
      <c r="Z75" s="21" t="str">
        <f aca="false">IF(OR(G75="",H75="",I75=""),"",ABS(H75-I75)*G75)</f>
        <v/>
      </c>
      <c r="AA75" s="22" t="str">
        <f aca="false">IF(OR(J75="",N(Z75)=0),"",ABS(J75-H75)/ABS(H75-I75))</f>
        <v/>
      </c>
      <c r="AB75" s="23" t="str">
        <f aca="false">IF(U75&lt;&gt;"Closed","",(N(L75)*N(M75)+N(N75)*N(O75)+Y75*Q75)/G75)</f>
        <v/>
      </c>
      <c r="AC75" s="24" t="str">
        <f aca="false">IF(U75&lt;&gt;"Closed","",IF($B75="Short",-1,1)*((N(M75)-H75)*N(L75)+(N(O75)-H75)*N(N75)+(Q75-H75)*Y75)-N(R75))</f>
        <v/>
      </c>
      <c r="AD75" s="25" t="str">
        <f aca="false">IF(OR(AC75="",N(Z75)=0),"",AC75/Z75)</f>
        <v/>
      </c>
      <c r="AE75" s="25" t="str">
        <f aca="false">IF(OR(S75="",N(Z75)=0),"",IF($B75="Short",-1,1)*(S75-H75)*G75/Z75)</f>
        <v/>
      </c>
      <c r="AF75" s="25" t="str">
        <f aca="false">IF(OR(T75="",N(Z75)=0),"",IF($B75="Short",-1,1)*(T75-H75)*G75/Z75)</f>
        <v/>
      </c>
      <c r="AG75" s="21" t="str">
        <f aca="false">IF(U75&lt;&gt;"Open","",Y75*MAX(0,IF($B75="Short",-1,1)*(H75-IF(K75="",I75,K75))))</f>
        <v/>
      </c>
      <c r="AH75" s="26" t="str">
        <f aca="false">IF(U75&lt;&gt;"Closed","",DATE(YEAR(P75),MONTH(P75),1))</f>
        <v/>
      </c>
      <c r="AI75" s="19" t="str">
        <f aca="false">IF(U75&lt;&gt;"Closed","",COUNTIFS($U$7:$U$506,"Closed",$P$7:$P$506,"&lt;"&amp;P75)+COUNTIFS($U$7:U75,"Closed",$P$7:P75,P75))</f>
        <v/>
      </c>
    </row>
    <row r="76" customFormat="false" ht="15" hidden="false" customHeight="false" outlineLevel="0" collapsed="false">
      <c r="A76" s="13"/>
      <c r="B76" s="48"/>
      <c r="C76" s="48"/>
      <c r="D76" s="48"/>
      <c r="E76" s="15"/>
      <c r="F76" s="15"/>
      <c r="G76" s="16"/>
      <c r="H76" s="17"/>
      <c r="I76" s="17"/>
      <c r="J76" s="17"/>
      <c r="K76" s="17"/>
      <c r="L76" s="16"/>
      <c r="M76" s="17"/>
      <c r="N76" s="16"/>
      <c r="O76" s="17"/>
      <c r="P76" s="15"/>
      <c r="Q76" s="17"/>
      <c r="R76" s="17"/>
      <c r="S76" s="17"/>
      <c r="T76" s="17"/>
      <c r="U76" s="18" t="str">
        <f aca="false">IF(A76="","",IF(N(G76)-N(L76)-N(N76)&lt;0,"Check shares",IF(AND(P76&lt;&gt;"",Q76&lt;&gt;""),"Closed","Open")))</f>
        <v/>
      </c>
      <c r="V76" s="19" t="str">
        <f aca="false">IF(OR(F76="",P76=""),"",NETWORKDAYS(F76,P76,Lists!$F$5:$F$40)-1)</f>
        <v/>
      </c>
      <c r="W76" s="18" t="str">
        <f aca="false">IF(V76="","",IF(V76=0,"Same day","Overnight"))</f>
        <v/>
      </c>
      <c r="X76" s="18" t="str">
        <f aca="false">IF(OR(E76="",F76=""),"",IF(AND(E76&gt;=F76,OR(P76="",E76&lt;=P76)),"Yes","No"))</f>
        <v/>
      </c>
      <c r="Y76" s="20" t="str">
        <f aca="false">IF(A76="","",N(G76)-N(L76)-N(N76))</f>
        <v/>
      </c>
      <c r="Z76" s="21" t="str">
        <f aca="false">IF(OR(G76="",H76="",I76=""),"",ABS(H76-I76)*G76)</f>
        <v/>
      </c>
      <c r="AA76" s="22" t="str">
        <f aca="false">IF(OR(J76="",N(Z76)=0),"",ABS(J76-H76)/ABS(H76-I76))</f>
        <v/>
      </c>
      <c r="AB76" s="23" t="str">
        <f aca="false">IF(U76&lt;&gt;"Closed","",(N(L76)*N(M76)+N(N76)*N(O76)+Y76*Q76)/G76)</f>
        <v/>
      </c>
      <c r="AC76" s="24" t="str">
        <f aca="false">IF(U76&lt;&gt;"Closed","",IF($B76="Short",-1,1)*((N(M76)-H76)*N(L76)+(N(O76)-H76)*N(N76)+(Q76-H76)*Y76)-N(R76))</f>
        <v/>
      </c>
      <c r="AD76" s="25" t="str">
        <f aca="false">IF(OR(AC76="",N(Z76)=0),"",AC76/Z76)</f>
        <v/>
      </c>
      <c r="AE76" s="25" t="str">
        <f aca="false">IF(OR(S76="",N(Z76)=0),"",IF($B76="Short",-1,1)*(S76-H76)*G76/Z76)</f>
        <v/>
      </c>
      <c r="AF76" s="25" t="str">
        <f aca="false">IF(OR(T76="",N(Z76)=0),"",IF($B76="Short",-1,1)*(T76-H76)*G76/Z76)</f>
        <v/>
      </c>
      <c r="AG76" s="21" t="str">
        <f aca="false">IF(U76&lt;&gt;"Open","",Y76*MAX(0,IF($B76="Short",-1,1)*(H76-IF(K76="",I76,K76))))</f>
        <v/>
      </c>
      <c r="AH76" s="26" t="str">
        <f aca="false">IF(U76&lt;&gt;"Closed","",DATE(YEAR(P76),MONTH(P76),1))</f>
        <v/>
      </c>
      <c r="AI76" s="19" t="str">
        <f aca="false">IF(U76&lt;&gt;"Closed","",COUNTIFS($U$7:$U$506,"Closed",$P$7:$P$506,"&lt;"&amp;P76)+COUNTIFS($U$7:U76,"Closed",$P$7:P76,P76))</f>
        <v/>
      </c>
    </row>
    <row r="77" customFormat="false" ht="15" hidden="false" customHeight="false" outlineLevel="0" collapsed="false">
      <c r="A77" s="13"/>
      <c r="B77" s="48"/>
      <c r="C77" s="48"/>
      <c r="D77" s="48"/>
      <c r="E77" s="15"/>
      <c r="F77" s="15"/>
      <c r="G77" s="16"/>
      <c r="H77" s="17"/>
      <c r="I77" s="17"/>
      <c r="J77" s="17"/>
      <c r="K77" s="17"/>
      <c r="L77" s="16"/>
      <c r="M77" s="17"/>
      <c r="N77" s="16"/>
      <c r="O77" s="17"/>
      <c r="P77" s="15"/>
      <c r="Q77" s="17"/>
      <c r="R77" s="17"/>
      <c r="S77" s="17"/>
      <c r="T77" s="17"/>
      <c r="U77" s="18" t="str">
        <f aca="false">IF(A77="","",IF(N(G77)-N(L77)-N(N77)&lt;0,"Check shares",IF(AND(P77&lt;&gt;"",Q77&lt;&gt;""),"Closed","Open")))</f>
        <v/>
      </c>
      <c r="V77" s="19" t="str">
        <f aca="false">IF(OR(F77="",P77=""),"",NETWORKDAYS(F77,P77,Lists!$F$5:$F$40)-1)</f>
        <v/>
      </c>
      <c r="W77" s="18" t="str">
        <f aca="false">IF(V77="","",IF(V77=0,"Same day","Overnight"))</f>
        <v/>
      </c>
      <c r="X77" s="18" t="str">
        <f aca="false">IF(OR(E77="",F77=""),"",IF(AND(E77&gt;=F77,OR(P77="",E77&lt;=P77)),"Yes","No"))</f>
        <v/>
      </c>
      <c r="Y77" s="20" t="str">
        <f aca="false">IF(A77="","",N(G77)-N(L77)-N(N77))</f>
        <v/>
      </c>
      <c r="Z77" s="21" t="str">
        <f aca="false">IF(OR(G77="",H77="",I77=""),"",ABS(H77-I77)*G77)</f>
        <v/>
      </c>
      <c r="AA77" s="22" t="str">
        <f aca="false">IF(OR(J77="",N(Z77)=0),"",ABS(J77-H77)/ABS(H77-I77))</f>
        <v/>
      </c>
      <c r="AB77" s="23" t="str">
        <f aca="false">IF(U77&lt;&gt;"Closed","",(N(L77)*N(M77)+N(N77)*N(O77)+Y77*Q77)/G77)</f>
        <v/>
      </c>
      <c r="AC77" s="24" t="str">
        <f aca="false">IF(U77&lt;&gt;"Closed","",IF($B77="Short",-1,1)*((N(M77)-H77)*N(L77)+(N(O77)-H77)*N(N77)+(Q77-H77)*Y77)-N(R77))</f>
        <v/>
      </c>
      <c r="AD77" s="25" t="str">
        <f aca="false">IF(OR(AC77="",N(Z77)=0),"",AC77/Z77)</f>
        <v/>
      </c>
      <c r="AE77" s="25" t="str">
        <f aca="false">IF(OR(S77="",N(Z77)=0),"",IF($B77="Short",-1,1)*(S77-H77)*G77/Z77)</f>
        <v/>
      </c>
      <c r="AF77" s="25" t="str">
        <f aca="false">IF(OR(T77="",N(Z77)=0),"",IF($B77="Short",-1,1)*(T77-H77)*G77/Z77)</f>
        <v/>
      </c>
      <c r="AG77" s="21" t="str">
        <f aca="false">IF(U77&lt;&gt;"Open","",Y77*MAX(0,IF($B77="Short",-1,1)*(H77-IF(K77="",I77,K77))))</f>
        <v/>
      </c>
      <c r="AH77" s="26" t="str">
        <f aca="false">IF(U77&lt;&gt;"Closed","",DATE(YEAR(P77),MONTH(P77),1))</f>
        <v/>
      </c>
      <c r="AI77" s="19" t="str">
        <f aca="false">IF(U77&lt;&gt;"Closed","",COUNTIFS($U$7:$U$506,"Closed",$P$7:$P$506,"&lt;"&amp;P77)+COUNTIFS($U$7:U77,"Closed",$P$7:P77,P77))</f>
        <v/>
      </c>
    </row>
    <row r="78" customFormat="false" ht="15" hidden="false" customHeight="false" outlineLevel="0" collapsed="false">
      <c r="A78" s="13"/>
      <c r="B78" s="48"/>
      <c r="C78" s="48"/>
      <c r="D78" s="48"/>
      <c r="E78" s="15"/>
      <c r="F78" s="15"/>
      <c r="G78" s="16"/>
      <c r="H78" s="17"/>
      <c r="I78" s="17"/>
      <c r="J78" s="17"/>
      <c r="K78" s="17"/>
      <c r="L78" s="16"/>
      <c r="M78" s="17"/>
      <c r="N78" s="16"/>
      <c r="O78" s="17"/>
      <c r="P78" s="15"/>
      <c r="Q78" s="17"/>
      <c r="R78" s="17"/>
      <c r="S78" s="17"/>
      <c r="T78" s="17"/>
      <c r="U78" s="18" t="str">
        <f aca="false">IF(A78="","",IF(N(G78)-N(L78)-N(N78)&lt;0,"Check shares",IF(AND(P78&lt;&gt;"",Q78&lt;&gt;""),"Closed","Open")))</f>
        <v/>
      </c>
      <c r="V78" s="19" t="str">
        <f aca="false">IF(OR(F78="",P78=""),"",NETWORKDAYS(F78,P78,Lists!$F$5:$F$40)-1)</f>
        <v/>
      </c>
      <c r="W78" s="18" t="str">
        <f aca="false">IF(V78="","",IF(V78=0,"Same day","Overnight"))</f>
        <v/>
      </c>
      <c r="X78" s="18" t="str">
        <f aca="false">IF(OR(E78="",F78=""),"",IF(AND(E78&gt;=F78,OR(P78="",E78&lt;=P78)),"Yes","No"))</f>
        <v/>
      </c>
      <c r="Y78" s="20" t="str">
        <f aca="false">IF(A78="","",N(G78)-N(L78)-N(N78))</f>
        <v/>
      </c>
      <c r="Z78" s="21" t="str">
        <f aca="false">IF(OR(G78="",H78="",I78=""),"",ABS(H78-I78)*G78)</f>
        <v/>
      </c>
      <c r="AA78" s="22" t="str">
        <f aca="false">IF(OR(J78="",N(Z78)=0),"",ABS(J78-H78)/ABS(H78-I78))</f>
        <v/>
      </c>
      <c r="AB78" s="23" t="str">
        <f aca="false">IF(U78&lt;&gt;"Closed","",(N(L78)*N(M78)+N(N78)*N(O78)+Y78*Q78)/G78)</f>
        <v/>
      </c>
      <c r="AC78" s="24" t="str">
        <f aca="false">IF(U78&lt;&gt;"Closed","",IF($B78="Short",-1,1)*((N(M78)-H78)*N(L78)+(N(O78)-H78)*N(N78)+(Q78-H78)*Y78)-N(R78))</f>
        <v/>
      </c>
      <c r="AD78" s="25" t="str">
        <f aca="false">IF(OR(AC78="",N(Z78)=0),"",AC78/Z78)</f>
        <v/>
      </c>
      <c r="AE78" s="25" t="str">
        <f aca="false">IF(OR(S78="",N(Z78)=0),"",IF($B78="Short",-1,1)*(S78-H78)*G78/Z78)</f>
        <v/>
      </c>
      <c r="AF78" s="25" t="str">
        <f aca="false">IF(OR(T78="",N(Z78)=0),"",IF($B78="Short",-1,1)*(T78-H78)*G78/Z78)</f>
        <v/>
      </c>
      <c r="AG78" s="21" t="str">
        <f aca="false">IF(U78&lt;&gt;"Open","",Y78*MAX(0,IF($B78="Short",-1,1)*(H78-IF(K78="",I78,K78))))</f>
        <v/>
      </c>
      <c r="AH78" s="26" t="str">
        <f aca="false">IF(U78&lt;&gt;"Closed","",DATE(YEAR(P78),MONTH(P78),1))</f>
        <v/>
      </c>
      <c r="AI78" s="19" t="str">
        <f aca="false">IF(U78&lt;&gt;"Closed","",COUNTIFS($U$7:$U$506,"Closed",$P$7:$P$506,"&lt;"&amp;P78)+COUNTIFS($U$7:U78,"Closed",$P$7:P78,P78))</f>
        <v/>
      </c>
    </row>
    <row r="79" customFormat="false" ht="15" hidden="false" customHeight="false" outlineLevel="0" collapsed="false">
      <c r="A79" s="13"/>
      <c r="B79" s="48"/>
      <c r="C79" s="48"/>
      <c r="D79" s="48"/>
      <c r="E79" s="15"/>
      <c r="F79" s="15"/>
      <c r="G79" s="16"/>
      <c r="H79" s="17"/>
      <c r="I79" s="17"/>
      <c r="J79" s="17"/>
      <c r="K79" s="17"/>
      <c r="L79" s="16"/>
      <c r="M79" s="17"/>
      <c r="N79" s="16"/>
      <c r="O79" s="17"/>
      <c r="P79" s="15"/>
      <c r="Q79" s="17"/>
      <c r="R79" s="17"/>
      <c r="S79" s="17"/>
      <c r="T79" s="17"/>
      <c r="U79" s="18" t="str">
        <f aca="false">IF(A79="","",IF(N(G79)-N(L79)-N(N79)&lt;0,"Check shares",IF(AND(P79&lt;&gt;"",Q79&lt;&gt;""),"Closed","Open")))</f>
        <v/>
      </c>
      <c r="V79" s="19" t="str">
        <f aca="false">IF(OR(F79="",P79=""),"",NETWORKDAYS(F79,P79,Lists!$F$5:$F$40)-1)</f>
        <v/>
      </c>
      <c r="W79" s="18" t="str">
        <f aca="false">IF(V79="","",IF(V79=0,"Same day","Overnight"))</f>
        <v/>
      </c>
      <c r="X79" s="18" t="str">
        <f aca="false">IF(OR(E79="",F79=""),"",IF(AND(E79&gt;=F79,OR(P79="",E79&lt;=P79)),"Yes","No"))</f>
        <v/>
      </c>
      <c r="Y79" s="20" t="str">
        <f aca="false">IF(A79="","",N(G79)-N(L79)-N(N79))</f>
        <v/>
      </c>
      <c r="Z79" s="21" t="str">
        <f aca="false">IF(OR(G79="",H79="",I79=""),"",ABS(H79-I79)*G79)</f>
        <v/>
      </c>
      <c r="AA79" s="22" t="str">
        <f aca="false">IF(OR(J79="",N(Z79)=0),"",ABS(J79-H79)/ABS(H79-I79))</f>
        <v/>
      </c>
      <c r="AB79" s="23" t="str">
        <f aca="false">IF(U79&lt;&gt;"Closed","",(N(L79)*N(M79)+N(N79)*N(O79)+Y79*Q79)/G79)</f>
        <v/>
      </c>
      <c r="AC79" s="24" t="str">
        <f aca="false">IF(U79&lt;&gt;"Closed","",IF($B79="Short",-1,1)*((N(M79)-H79)*N(L79)+(N(O79)-H79)*N(N79)+(Q79-H79)*Y79)-N(R79))</f>
        <v/>
      </c>
      <c r="AD79" s="25" t="str">
        <f aca="false">IF(OR(AC79="",N(Z79)=0),"",AC79/Z79)</f>
        <v/>
      </c>
      <c r="AE79" s="25" t="str">
        <f aca="false">IF(OR(S79="",N(Z79)=0),"",IF($B79="Short",-1,1)*(S79-H79)*G79/Z79)</f>
        <v/>
      </c>
      <c r="AF79" s="25" t="str">
        <f aca="false">IF(OR(T79="",N(Z79)=0),"",IF($B79="Short",-1,1)*(T79-H79)*G79/Z79)</f>
        <v/>
      </c>
      <c r="AG79" s="21" t="str">
        <f aca="false">IF(U79&lt;&gt;"Open","",Y79*MAX(0,IF($B79="Short",-1,1)*(H79-IF(K79="",I79,K79))))</f>
        <v/>
      </c>
      <c r="AH79" s="26" t="str">
        <f aca="false">IF(U79&lt;&gt;"Closed","",DATE(YEAR(P79),MONTH(P79),1))</f>
        <v/>
      </c>
      <c r="AI79" s="19" t="str">
        <f aca="false">IF(U79&lt;&gt;"Closed","",COUNTIFS($U$7:$U$506,"Closed",$P$7:$P$506,"&lt;"&amp;P79)+COUNTIFS($U$7:U79,"Closed",$P$7:P79,P79))</f>
        <v/>
      </c>
    </row>
    <row r="80" customFormat="false" ht="15" hidden="false" customHeight="false" outlineLevel="0" collapsed="false">
      <c r="A80" s="13"/>
      <c r="B80" s="48"/>
      <c r="C80" s="48"/>
      <c r="D80" s="48"/>
      <c r="E80" s="15"/>
      <c r="F80" s="15"/>
      <c r="G80" s="16"/>
      <c r="H80" s="17"/>
      <c r="I80" s="17"/>
      <c r="J80" s="17"/>
      <c r="K80" s="17"/>
      <c r="L80" s="16"/>
      <c r="M80" s="17"/>
      <c r="N80" s="16"/>
      <c r="O80" s="17"/>
      <c r="P80" s="15"/>
      <c r="Q80" s="17"/>
      <c r="R80" s="17"/>
      <c r="S80" s="17"/>
      <c r="T80" s="17"/>
      <c r="U80" s="18" t="str">
        <f aca="false">IF(A80="","",IF(N(G80)-N(L80)-N(N80)&lt;0,"Check shares",IF(AND(P80&lt;&gt;"",Q80&lt;&gt;""),"Closed","Open")))</f>
        <v/>
      </c>
      <c r="V80" s="19" t="str">
        <f aca="false">IF(OR(F80="",P80=""),"",NETWORKDAYS(F80,P80,Lists!$F$5:$F$40)-1)</f>
        <v/>
      </c>
      <c r="W80" s="18" t="str">
        <f aca="false">IF(V80="","",IF(V80=0,"Same day","Overnight"))</f>
        <v/>
      </c>
      <c r="X80" s="18" t="str">
        <f aca="false">IF(OR(E80="",F80=""),"",IF(AND(E80&gt;=F80,OR(P80="",E80&lt;=P80)),"Yes","No"))</f>
        <v/>
      </c>
      <c r="Y80" s="20" t="str">
        <f aca="false">IF(A80="","",N(G80)-N(L80)-N(N80))</f>
        <v/>
      </c>
      <c r="Z80" s="21" t="str">
        <f aca="false">IF(OR(G80="",H80="",I80=""),"",ABS(H80-I80)*G80)</f>
        <v/>
      </c>
      <c r="AA80" s="22" t="str">
        <f aca="false">IF(OR(J80="",N(Z80)=0),"",ABS(J80-H80)/ABS(H80-I80))</f>
        <v/>
      </c>
      <c r="AB80" s="23" t="str">
        <f aca="false">IF(U80&lt;&gt;"Closed","",(N(L80)*N(M80)+N(N80)*N(O80)+Y80*Q80)/G80)</f>
        <v/>
      </c>
      <c r="AC80" s="24" t="str">
        <f aca="false">IF(U80&lt;&gt;"Closed","",IF($B80="Short",-1,1)*((N(M80)-H80)*N(L80)+(N(O80)-H80)*N(N80)+(Q80-H80)*Y80)-N(R80))</f>
        <v/>
      </c>
      <c r="AD80" s="25" t="str">
        <f aca="false">IF(OR(AC80="",N(Z80)=0),"",AC80/Z80)</f>
        <v/>
      </c>
      <c r="AE80" s="25" t="str">
        <f aca="false">IF(OR(S80="",N(Z80)=0),"",IF($B80="Short",-1,1)*(S80-H80)*G80/Z80)</f>
        <v/>
      </c>
      <c r="AF80" s="25" t="str">
        <f aca="false">IF(OR(T80="",N(Z80)=0),"",IF($B80="Short",-1,1)*(T80-H80)*G80/Z80)</f>
        <v/>
      </c>
      <c r="AG80" s="21" t="str">
        <f aca="false">IF(U80&lt;&gt;"Open","",Y80*MAX(0,IF($B80="Short",-1,1)*(H80-IF(K80="",I80,K80))))</f>
        <v/>
      </c>
      <c r="AH80" s="26" t="str">
        <f aca="false">IF(U80&lt;&gt;"Closed","",DATE(YEAR(P80),MONTH(P80),1))</f>
        <v/>
      </c>
      <c r="AI80" s="19" t="str">
        <f aca="false">IF(U80&lt;&gt;"Closed","",COUNTIFS($U$7:$U$506,"Closed",$P$7:$P$506,"&lt;"&amp;P80)+COUNTIFS($U$7:U80,"Closed",$P$7:P80,P80))</f>
        <v/>
      </c>
    </row>
    <row r="81" customFormat="false" ht="15" hidden="false" customHeight="false" outlineLevel="0" collapsed="false">
      <c r="A81" s="13"/>
      <c r="B81" s="48"/>
      <c r="C81" s="48"/>
      <c r="D81" s="48"/>
      <c r="E81" s="15"/>
      <c r="F81" s="15"/>
      <c r="G81" s="16"/>
      <c r="H81" s="17"/>
      <c r="I81" s="17"/>
      <c r="J81" s="17"/>
      <c r="K81" s="17"/>
      <c r="L81" s="16"/>
      <c r="M81" s="17"/>
      <c r="N81" s="16"/>
      <c r="O81" s="17"/>
      <c r="P81" s="15"/>
      <c r="Q81" s="17"/>
      <c r="R81" s="17"/>
      <c r="S81" s="17"/>
      <c r="T81" s="17"/>
      <c r="U81" s="18" t="str">
        <f aca="false">IF(A81="","",IF(N(G81)-N(L81)-N(N81)&lt;0,"Check shares",IF(AND(P81&lt;&gt;"",Q81&lt;&gt;""),"Closed","Open")))</f>
        <v/>
      </c>
      <c r="V81" s="19" t="str">
        <f aca="false">IF(OR(F81="",P81=""),"",NETWORKDAYS(F81,P81,Lists!$F$5:$F$40)-1)</f>
        <v/>
      </c>
      <c r="W81" s="18" t="str">
        <f aca="false">IF(V81="","",IF(V81=0,"Same day","Overnight"))</f>
        <v/>
      </c>
      <c r="X81" s="18" t="str">
        <f aca="false">IF(OR(E81="",F81=""),"",IF(AND(E81&gt;=F81,OR(P81="",E81&lt;=P81)),"Yes","No"))</f>
        <v/>
      </c>
      <c r="Y81" s="20" t="str">
        <f aca="false">IF(A81="","",N(G81)-N(L81)-N(N81))</f>
        <v/>
      </c>
      <c r="Z81" s="21" t="str">
        <f aca="false">IF(OR(G81="",H81="",I81=""),"",ABS(H81-I81)*G81)</f>
        <v/>
      </c>
      <c r="AA81" s="22" t="str">
        <f aca="false">IF(OR(J81="",N(Z81)=0),"",ABS(J81-H81)/ABS(H81-I81))</f>
        <v/>
      </c>
      <c r="AB81" s="23" t="str">
        <f aca="false">IF(U81&lt;&gt;"Closed","",(N(L81)*N(M81)+N(N81)*N(O81)+Y81*Q81)/G81)</f>
        <v/>
      </c>
      <c r="AC81" s="24" t="str">
        <f aca="false">IF(U81&lt;&gt;"Closed","",IF($B81="Short",-1,1)*((N(M81)-H81)*N(L81)+(N(O81)-H81)*N(N81)+(Q81-H81)*Y81)-N(R81))</f>
        <v/>
      </c>
      <c r="AD81" s="25" t="str">
        <f aca="false">IF(OR(AC81="",N(Z81)=0),"",AC81/Z81)</f>
        <v/>
      </c>
      <c r="AE81" s="25" t="str">
        <f aca="false">IF(OR(S81="",N(Z81)=0),"",IF($B81="Short",-1,1)*(S81-H81)*G81/Z81)</f>
        <v/>
      </c>
      <c r="AF81" s="25" t="str">
        <f aca="false">IF(OR(T81="",N(Z81)=0),"",IF($B81="Short",-1,1)*(T81-H81)*G81/Z81)</f>
        <v/>
      </c>
      <c r="AG81" s="21" t="str">
        <f aca="false">IF(U81&lt;&gt;"Open","",Y81*MAX(0,IF($B81="Short",-1,1)*(H81-IF(K81="",I81,K81))))</f>
        <v/>
      </c>
      <c r="AH81" s="26" t="str">
        <f aca="false">IF(U81&lt;&gt;"Closed","",DATE(YEAR(P81),MONTH(P81),1))</f>
        <v/>
      </c>
      <c r="AI81" s="19" t="str">
        <f aca="false">IF(U81&lt;&gt;"Closed","",COUNTIFS($U$7:$U$506,"Closed",$P$7:$P$506,"&lt;"&amp;P81)+COUNTIFS($U$7:U81,"Closed",$P$7:P81,P81))</f>
        <v/>
      </c>
    </row>
    <row r="82" customFormat="false" ht="15" hidden="false" customHeight="false" outlineLevel="0" collapsed="false">
      <c r="A82" s="13"/>
      <c r="B82" s="48"/>
      <c r="C82" s="48"/>
      <c r="D82" s="48"/>
      <c r="E82" s="15"/>
      <c r="F82" s="15"/>
      <c r="G82" s="16"/>
      <c r="H82" s="17"/>
      <c r="I82" s="17"/>
      <c r="J82" s="17"/>
      <c r="K82" s="17"/>
      <c r="L82" s="16"/>
      <c r="M82" s="17"/>
      <c r="N82" s="16"/>
      <c r="O82" s="17"/>
      <c r="P82" s="15"/>
      <c r="Q82" s="17"/>
      <c r="R82" s="17"/>
      <c r="S82" s="17"/>
      <c r="T82" s="17"/>
      <c r="U82" s="18" t="str">
        <f aca="false">IF(A82="","",IF(N(G82)-N(L82)-N(N82)&lt;0,"Check shares",IF(AND(P82&lt;&gt;"",Q82&lt;&gt;""),"Closed","Open")))</f>
        <v/>
      </c>
      <c r="V82" s="19" t="str">
        <f aca="false">IF(OR(F82="",P82=""),"",NETWORKDAYS(F82,P82,Lists!$F$5:$F$40)-1)</f>
        <v/>
      </c>
      <c r="W82" s="18" t="str">
        <f aca="false">IF(V82="","",IF(V82=0,"Same day","Overnight"))</f>
        <v/>
      </c>
      <c r="X82" s="18" t="str">
        <f aca="false">IF(OR(E82="",F82=""),"",IF(AND(E82&gt;=F82,OR(P82="",E82&lt;=P82)),"Yes","No"))</f>
        <v/>
      </c>
      <c r="Y82" s="20" t="str">
        <f aca="false">IF(A82="","",N(G82)-N(L82)-N(N82))</f>
        <v/>
      </c>
      <c r="Z82" s="21" t="str">
        <f aca="false">IF(OR(G82="",H82="",I82=""),"",ABS(H82-I82)*G82)</f>
        <v/>
      </c>
      <c r="AA82" s="22" t="str">
        <f aca="false">IF(OR(J82="",N(Z82)=0),"",ABS(J82-H82)/ABS(H82-I82))</f>
        <v/>
      </c>
      <c r="AB82" s="23" t="str">
        <f aca="false">IF(U82&lt;&gt;"Closed","",(N(L82)*N(M82)+N(N82)*N(O82)+Y82*Q82)/G82)</f>
        <v/>
      </c>
      <c r="AC82" s="24" t="str">
        <f aca="false">IF(U82&lt;&gt;"Closed","",IF($B82="Short",-1,1)*((N(M82)-H82)*N(L82)+(N(O82)-H82)*N(N82)+(Q82-H82)*Y82)-N(R82))</f>
        <v/>
      </c>
      <c r="AD82" s="25" t="str">
        <f aca="false">IF(OR(AC82="",N(Z82)=0),"",AC82/Z82)</f>
        <v/>
      </c>
      <c r="AE82" s="25" t="str">
        <f aca="false">IF(OR(S82="",N(Z82)=0),"",IF($B82="Short",-1,1)*(S82-H82)*G82/Z82)</f>
        <v/>
      </c>
      <c r="AF82" s="25" t="str">
        <f aca="false">IF(OR(T82="",N(Z82)=0),"",IF($B82="Short",-1,1)*(T82-H82)*G82/Z82)</f>
        <v/>
      </c>
      <c r="AG82" s="21" t="str">
        <f aca="false">IF(U82&lt;&gt;"Open","",Y82*MAX(0,IF($B82="Short",-1,1)*(H82-IF(K82="",I82,K82))))</f>
        <v/>
      </c>
      <c r="AH82" s="26" t="str">
        <f aca="false">IF(U82&lt;&gt;"Closed","",DATE(YEAR(P82),MONTH(P82),1))</f>
        <v/>
      </c>
      <c r="AI82" s="19" t="str">
        <f aca="false">IF(U82&lt;&gt;"Closed","",COUNTIFS($U$7:$U$506,"Closed",$P$7:$P$506,"&lt;"&amp;P82)+COUNTIFS($U$7:U82,"Closed",$P$7:P82,P82))</f>
        <v/>
      </c>
    </row>
    <row r="83" customFormat="false" ht="15" hidden="false" customHeight="false" outlineLevel="0" collapsed="false">
      <c r="A83" s="13"/>
      <c r="B83" s="48"/>
      <c r="C83" s="48"/>
      <c r="D83" s="48"/>
      <c r="E83" s="15"/>
      <c r="F83" s="15"/>
      <c r="G83" s="16"/>
      <c r="H83" s="17"/>
      <c r="I83" s="17"/>
      <c r="J83" s="17"/>
      <c r="K83" s="17"/>
      <c r="L83" s="16"/>
      <c r="M83" s="17"/>
      <c r="N83" s="16"/>
      <c r="O83" s="17"/>
      <c r="P83" s="15"/>
      <c r="Q83" s="17"/>
      <c r="R83" s="17"/>
      <c r="S83" s="17"/>
      <c r="T83" s="17"/>
      <c r="U83" s="18" t="str">
        <f aca="false">IF(A83="","",IF(N(G83)-N(L83)-N(N83)&lt;0,"Check shares",IF(AND(P83&lt;&gt;"",Q83&lt;&gt;""),"Closed","Open")))</f>
        <v/>
      </c>
      <c r="V83" s="19" t="str">
        <f aca="false">IF(OR(F83="",P83=""),"",NETWORKDAYS(F83,P83,Lists!$F$5:$F$40)-1)</f>
        <v/>
      </c>
      <c r="W83" s="18" t="str">
        <f aca="false">IF(V83="","",IF(V83=0,"Same day","Overnight"))</f>
        <v/>
      </c>
      <c r="X83" s="18" t="str">
        <f aca="false">IF(OR(E83="",F83=""),"",IF(AND(E83&gt;=F83,OR(P83="",E83&lt;=P83)),"Yes","No"))</f>
        <v/>
      </c>
      <c r="Y83" s="20" t="str">
        <f aca="false">IF(A83="","",N(G83)-N(L83)-N(N83))</f>
        <v/>
      </c>
      <c r="Z83" s="21" t="str">
        <f aca="false">IF(OR(G83="",H83="",I83=""),"",ABS(H83-I83)*G83)</f>
        <v/>
      </c>
      <c r="AA83" s="22" t="str">
        <f aca="false">IF(OR(J83="",N(Z83)=0),"",ABS(J83-H83)/ABS(H83-I83))</f>
        <v/>
      </c>
      <c r="AB83" s="23" t="str">
        <f aca="false">IF(U83&lt;&gt;"Closed","",(N(L83)*N(M83)+N(N83)*N(O83)+Y83*Q83)/G83)</f>
        <v/>
      </c>
      <c r="AC83" s="24" t="str">
        <f aca="false">IF(U83&lt;&gt;"Closed","",IF($B83="Short",-1,1)*((N(M83)-H83)*N(L83)+(N(O83)-H83)*N(N83)+(Q83-H83)*Y83)-N(R83))</f>
        <v/>
      </c>
      <c r="AD83" s="25" t="str">
        <f aca="false">IF(OR(AC83="",N(Z83)=0),"",AC83/Z83)</f>
        <v/>
      </c>
      <c r="AE83" s="25" t="str">
        <f aca="false">IF(OR(S83="",N(Z83)=0),"",IF($B83="Short",-1,1)*(S83-H83)*G83/Z83)</f>
        <v/>
      </c>
      <c r="AF83" s="25" t="str">
        <f aca="false">IF(OR(T83="",N(Z83)=0),"",IF($B83="Short",-1,1)*(T83-H83)*G83/Z83)</f>
        <v/>
      </c>
      <c r="AG83" s="21" t="str">
        <f aca="false">IF(U83&lt;&gt;"Open","",Y83*MAX(0,IF($B83="Short",-1,1)*(H83-IF(K83="",I83,K83))))</f>
        <v/>
      </c>
      <c r="AH83" s="26" t="str">
        <f aca="false">IF(U83&lt;&gt;"Closed","",DATE(YEAR(P83),MONTH(P83),1))</f>
        <v/>
      </c>
      <c r="AI83" s="19" t="str">
        <f aca="false">IF(U83&lt;&gt;"Closed","",COUNTIFS($U$7:$U$506,"Closed",$P$7:$P$506,"&lt;"&amp;P83)+COUNTIFS($U$7:U83,"Closed",$P$7:P83,P83))</f>
        <v/>
      </c>
    </row>
    <row r="84" customFormat="false" ht="15" hidden="false" customHeight="false" outlineLevel="0" collapsed="false">
      <c r="A84" s="13"/>
      <c r="B84" s="48"/>
      <c r="C84" s="48"/>
      <c r="D84" s="48"/>
      <c r="E84" s="15"/>
      <c r="F84" s="15"/>
      <c r="G84" s="16"/>
      <c r="H84" s="17"/>
      <c r="I84" s="17"/>
      <c r="J84" s="17"/>
      <c r="K84" s="17"/>
      <c r="L84" s="16"/>
      <c r="M84" s="17"/>
      <c r="N84" s="16"/>
      <c r="O84" s="17"/>
      <c r="P84" s="15"/>
      <c r="Q84" s="17"/>
      <c r="R84" s="17"/>
      <c r="S84" s="17"/>
      <c r="T84" s="17"/>
      <c r="U84" s="18" t="str">
        <f aca="false">IF(A84="","",IF(N(G84)-N(L84)-N(N84)&lt;0,"Check shares",IF(AND(P84&lt;&gt;"",Q84&lt;&gt;""),"Closed","Open")))</f>
        <v/>
      </c>
      <c r="V84" s="19" t="str">
        <f aca="false">IF(OR(F84="",P84=""),"",NETWORKDAYS(F84,P84,Lists!$F$5:$F$40)-1)</f>
        <v/>
      </c>
      <c r="W84" s="18" t="str">
        <f aca="false">IF(V84="","",IF(V84=0,"Same day","Overnight"))</f>
        <v/>
      </c>
      <c r="X84" s="18" t="str">
        <f aca="false">IF(OR(E84="",F84=""),"",IF(AND(E84&gt;=F84,OR(P84="",E84&lt;=P84)),"Yes","No"))</f>
        <v/>
      </c>
      <c r="Y84" s="20" t="str">
        <f aca="false">IF(A84="","",N(G84)-N(L84)-N(N84))</f>
        <v/>
      </c>
      <c r="Z84" s="21" t="str">
        <f aca="false">IF(OR(G84="",H84="",I84=""),"",ABS(H84-I84)*G84)</f>
        <v/>
      </c>
      <c r="AA84" s="22" t="str">
        <f aca="false">IF(OR(J84="",N(Z84)=0),"",ABS(J84-H84)/ABS(H84-I84))</f>
        <v/>
      </c>
      <c r="AB84" s="23" t="str">
        <f aca="false">IF(U84&lt;&gt;"Closed","",(N(L84)*N(M84)+N(N84)*N(O84)+Y84*Q84)/G84)</f>
        <v/>
      </c>
      <c r="AC84" s="24" t="str">
        <f aca="false">IF(U84&lt;&gt;"Closed","",IF($B84="Short",-1,1)*((N(M84)-H84)*N(L84)+(N(O84)-H84)*N(N84)+(Q84-H84)*Y84)-N(R84))</f>
        <v/>
      </c>
      <c r="AD84" s="25" t="str">
        <f aca="false">IF(OR(AC84="",N(Z84)=0),"",AC84/Z84)</f>
        <v/>
      </c>
      <c r="AE84" s="25" t="str">
        <f aca="false">IF(OR(S84="",N(Z84)=0),"",IF($B84="Short",-1,1)*(S84-H84)*G84/Z84)</f>
        <v/>
      </c>
      <c r="AF84" s="25" t="str">
        <f aca="false">IF(OR(T84="",N(Z84)=0),"",IF($B84="Short",-1,1)*(T84-H84)*G84/Z84)</f>
        <v/>
      </c>
      <c r="AG84" s="21" t="str">
        <f aca="false">IF(U84&lt;&gt;"Open","",Y84*MAX(0,IF($B84="Short",-1,1)*(H84-IF(K84="",I84,K84))))</f>
        <v/>
      </c>
      <c r="AH84" s="26" t="str">
        <f aca="false">IF(U84&lt;&gt;"Closed","",DATE(YEAR(P84),MONTH(P84),1))</f>
        <v/>
      </c>
      <c r="AI84" s="19" t="str">
        <f aca="false">IF(U84&lt;&gt;"Closed","",COUNTIFS($U$7:$U$506,"Closed",$P$7:$P$506,"&lt;"&amp;P84)+COUNTIFS($U$7:U84,"Closed",$P$7:P84,P84))</f>
        <v/>
      </c>
    </row>
    <row r="85" customFormat="false" ht="15" hidden="false" customHeight="false" outlineLevel="0" collapsed="false">
      <c r="A85" s="13"/>
      <c r="B85" s="48"/>
      <c r="C85" s="48"/>
      <c r="D85" s="48"/>
      <c r="E85" s="15"/>
      <c r="F85" s="15"/>
      <c r="G85" s="16"/>
      <c r="H85" s="17"/>
      <c r="I85" s="17"/>
      <c r="J85" s="17"/>
      <c r="K85" s="17"/>
      <c r="L85" s="16"/>
      <c r="M85" s="17"/>
      <c r="N85" s="16"/>
      <c r="O85" s="17"/>
      <c r="P85" s="15"/>
      <c r="Q85" s="17"/>
      <c r="R85" s="17"/>
      <c r="S85" s="17"/>
      <c r="T85" s="17"/>
      <c r="U85" s="18" t="str">
        <f aca="false">IF(A85="","",IF(N(G85)-N(L85)-N(N85)&lt;0,"Check shares",IF(AND(P85&lt;&gt;"",Q85&lt;&gt;""),"Closed","Open")))</f>
        <v/>
      </c>
      <c r="V85" s="19" t="str">
        <f aca="false">IF(OR(F85="",P85=""),"",NETWORKDAYS(F85,P85,Lists!$F$5:$F$40)-1)</f>
        <v/>
      </c>
      <c r="W85" s="18" t="str">
        <f aca="false">IF(V85="","",IF(V85=0,"Same day","Overnight"))</f>
        <v/>
      </c>
      <c r="X85" s="18" t="str">
        <f aca="false">IF(OR(E85="",F85=""),"",IF(AND(E85&gt;=F85,OR(P85="",E85&lt;=P85)),"Yes","No"))</f>
        <v/>
      </c>
      <c r="Y85" s="20" t="str">
        <f aca="false">IF(A85="","",N(G85)-N(L85)-N(N85))</f>
        <v/>
      </c>
      <c r="Z85" s="21" t="str">
        <f aca="false">IF(OR(G85="",H85="",I85=""),"",ABS(H85-I85)*G85)</f>
        <v/>
      </c>
      <c r="AA85" s="22" t="str">
        <f aca="false">IF(OR(J85="",N(Z85)=0),"",ABS(J85-H85)/ABS(H85-I85))</f>
        <v/>
      </c>
      <c r="AB85" s="23" t="str">
        <f aca="false">IF(U85&lt;&gt;"Closed","",(N(L85)*N(M85)+N(N85)*N(O85)+Y85*Q85)/G85)</f>
        <v/>
      </c>
      <c r="AC85" s="24" t="str">
        <f aca="false">IF(U85&lt;&gt;"Closed","",IF($B85="Short",-1,1)*((N(M85)-H85)*N(L85)+(N(O85)-H85)*N(N85)+(Q85-H85)*Y85)-N(R85))</f>
        <v/>
      </c>
      <c r="AD85" s="25" t="str">
        <f aca="false">IF(OR(AC85="",N(Z85)=0),"",AC85/Z85)</f>
        <v/>
      </c>
      <c r="AE85" s="25" t="str">
        <f aca="false">IF(OR(S85="",N(Z85)=0),"",IF($B85="Short",-1,1)*(S85-H85)*G85/Z85)</f>
        <v/>
      </c>
      <c r="AF85" s="25" t="str">
        <f aca="false">IF(OR(T85="",N(Z85)=0),"",IF($B85="Short",-1,1)*(T85-H85)*G85/Z85)</f>
        <v/>
      </c>
      <c r="AG85" s="21" t="str">
        <f aca="false">IF(U85&lt;&gt;"Open","",Y85*MAX(0,IF($B85="Short",-1,1)*(H85-IF(K85="",I85,K85))))</f>
        <v/>
      </c>
      <c r="AH85" s="26" t="str">
        <f aca="false">IF(U85&lt;&gt;"Closed","",DATE(YEAR(P85),MONTH(P85),1))</f>
        <v/>
      </c>
      <c r="AI85" s="19" t="str">
        <f aca="false">IF(U85&lt;&gt;"Closed","",COUNTIFS($U$7:$U$506,"Closed",$P$7:$P$506,"&lt;"&amp;P85)+COUNTIFS($U$7:U85,"Closed",$P$7:P85,P85))</f>
        <v/>
      </c>
    </row>
    <row r="86" customFormat="false" ht="15" hidden="false" customHeight="false" outlineLevel="0" collapsed="false">
      <c r="A86" s="13"/>
      <c r="B86" s="48"/>
      <c r="C86" s="48"/>
      <c r="D86" s="48"/>
      <c r="E86" s="15"/>
      <c r="F86" s="15"/>
      <c r="G86" s="16"/>
      <c r="H86" s="17"/>
      <c r="I86" s="17"/>
      <c r="J86" s="17"/>
      <c r="K86" s="17"/>
      <c r="L86" s="16"/>
      <c r="M86" s="17"/>
      <c r="N86" s="16"/>
      <c r="O86" s="17"/>
      <c r="P86" s="15"/>
      <c r="Q86" s="17"/>
      <c r="R86" s="17"/>
      <c r="S86" s="17"/>
      <c r="T86" s="17"/>
      <c r="U86" s="18" t="str">
        <f aca="false">IF(A86="","",IF(N(G86)-N(L86)-N(N86)&lt;0,"Check shares",IF(AND(P86&lt;&gt;"",Q86&lt;&gt;""),"Closed","Open")))</f>
        <v/>
      </c>
      <c r="V86" s="19" t="str">
        <f aca="false">IF(OR(F86="",P86=""),"",NETWORKDAYS(F86,P86,Lists!$F$5:$F$40)-1)</f>
        <v/>
      </c>
      <c r="W86" s="18" t="str">
        <f aca="false">IF(V86="","",IF(V86=0,"Same day","Overnight"))</f>
        <v/>
      </c>
      <c r="X86" s="18" t="str">
        <f aca="false">IF(OR(E86="",F86=""),"",IF(AND(E86&gt;=F86,OR(P86="",E86&lt;=P86)),"Yes","No"))</f>
        <v/>
      </c>
      <c r="Y86" s="20" t="str">
        <f aca="false">IF(A86="","",N(G86)-N(L86)-N(N86))</f>
        <v/>
      </c>
      <c r="Z86" s="21" t="str">
        <f aca="false">IF(OR(G86="",H86="",I86=""),"",ABS(H86-I86)*G86)</f>
        <v/>
      </c>
      <c r="AA86" s="22" t="str">
        <f aca="false">IF(OR(J86="",N(Z86)=0),"",ABS(J86-H86)/ABS(H86-I86))</f>
        <v/>
      </c>
      <c r="AB86" s="23" t="str">
        <f aca="false">IF(U86&lt;&gt;"Closed","",(N(L86)*N(M86)+N(N86)*N(O86)+Y86*Q86)/G86)</f>
        <v/>
      </c>
      <c r="AC86" s="24" t="str">
        <f aca="false">IF(U86&lt;&gt;"Closed","",IF($B86="Short",-1,1)*((N(M86)-H86)*N(L86)+(N(O86)-H86)*N(N86)+(Q86-H86)*Y86)-N(R86))</f>
        <v/>
      </c>
      <c r="AD86" s="25" t="str">
        <f aca="false">IF(OR(AC86="",N(Z86)=0),"",AC86/Z86)</f>
        <v/>
      </c>
      <c r="AE86" s="25" t="str">
        <f aca="false">IF(OR(S86="",N(Z86)=0),"",IF($B86="Short",-1,1)*(S86-H86)*G86/Z86)</f>
        <v/>
      </c>
      <c r="AF86" s="25" t="str">
        <f aca="false">IF(OR(T86="",N(Z86)=0),"",IF($B86="Short",-1,1)*(T86-H86)*G86/Z86)</f>
        <v/>
      </c>
      <c r="AG86" s="21" t="str">
        <f aca="false">IF(U86&lt;&gt;"Open","",Y86*MAX(0,IF($B86="Short",-1,1)*(H86-IF(K86="",I86,K86))))</f>
        <v/>
      </c>
      <c r="AH86" s="26" t="str">
        <f aca="false">IF(U86&lt;&gt;"Closed","",DATE(YEAR(P86),MONTH(P86),1))</f>
        <v/>
      </c>
      <c r="AI86" s="19" t="str">
        <f aca="false">IF(U86&lt;&gt;"Closed","",COUNTIFS($U$7:$U$506,"Closed",$P$7:$P$506,"&lt;"&amp;P86)+COUNTIFS($U$7:U86,"Closed",$P$7:P86,P86))</f>
        <v/>
      </c>
    </row>
    <row r="87" customFormat="false" ht="15" hidden="false" customHeight="false" outlineLevel="0" collapsed="false">
      <c r="A87" s="13"/>
      <c r="B87" s="48"/>
      <c r="C87" s="48"/>
      <c r="D87" s="48"/>
      <c r="E87" s="15"/>
      <c r="F87" s="15"/>
      <c r="G87" s="16"/>
      <c r="H87" s="17"/>
      <c r="I87" s="17"/>
      <c r="J87" s="17"/>
      <c r="K87" s="17"/>
      <c r="L87" s="16"/>
      <c r="M87" s="17"/>
      <c r="N87" s="16"/>
      <c r="O87" s="17"/>
      <c r="P87" s="15"/>
      <c r="Q87" s="17"/>
      <c r="R87" s="17"/>
      <c r="S87" s="17"/>
      <c r="T87" s="17"/>
      <c r="U87" s="18" t="str">
        <f aca="false">IF(A87="","",IF(N(G87)-N(L87)-N(N87)&lt;0,"Check shares",IF(AND(P87&lt;&gt;"",Q87&lt;&gt;""),"Closed","Open")))</f>
        <v/>
      </c>
      <c r="V87" s="19" t="str">
        <f aca="false">IF(OR(F87="",P87=""),"",NETWORKDAYS(F87,P87,Lists!$F$5:$F$40)-1)</f>
        <v/>
      </c>
      <c r="W87" s="18" t="str">
        <f aca="false">IF(V87="","",IF(V87=0,"Same day","Overnight"))</f>
        <v/>
      </c>
      <c r="X87" s="18" t="str">
        <f aca="false">IF(OR(E87="",F87=""),"",IF(AND(E87&gt;=F87,OR(P87="",E87&lt;=P87)),"Yes","No"))</f>
        <v/>
      </c>
      <c r="Y87" s="20" t="str">
        <f aca="false">IF(A87="","",N(G87)-N(L87)-N(N87))</f>
        <v/>
      </c>
      <c r="Z87" s="21" t="str">
        <f aca="false">IF(OR(G87="",H87="",I87=""),"",ABS(H87-I87)*G87)</f>
        <v/>
      </c>
      <c r="AA87" s="22" t="str">
        <f aca="false">IF(OR(J87="",N(Z87)=0),"",ABS(J87-H87)/ABS(H87-I87))</f>
        <v/>
      </c>
      <c r="AB87" s="23" t="str">
        <f aca="false">IF(U87&lt;&gt;"Closed","",(N(L87)*N(M87)+N(N87)*N(O87)+Y87*Q87)/G87)</f>
        <v/>
      </c>
      <c r="AC87" s="24" t="str">
        <f aca="false">IF(U87&lt;&gt;"Closed","",IF($B87="Short",-1,1)*((N(M87)-H87)*N(L87)+(N(O87)-H87)*N(N87)+(Q87-H87)*Y87)-N(R87))</f>
        <v/>
      </c>
      <c r="AD87" s="25" t="str">
        <f aca="false">IF(OR(AC87="",N(Z87)=0),"",AC87/Z87)</f>
        <v/>
      </c>
      <c r="AE87" s="25" t="str">
        <f aca="false">IF(OR(S87="",N(Z87)=0),"",IF($B87="Short",-1,1)*(S87-H87)*G87/Z87)</f>
        <v/>
      </c>
      <c r="AF87" s="25" t="str">
        <f aca="false">IF(OR(T87="",N(Z87)=0),"",IF($B87="Short",-1,1)*(T87-H87)*G87/Z87)</f>
        <v/>
      </c>
      <c r="AG87" s="21" t="str">
        <f aca="false">IF(U87&lt;&gt;"Open","",Y87*MAX(0,IF($B87="Short",-1,1)*(H87-IF(K87="",I87,K87))))</f>
        <v/>
      </c>
      <c r="AH87" s="26" t="str">
        <f aca="false">IF(U87&lt;&gt;"Closed","",DATE(YEAR(P87),MONTH(P87),1))</f>
        <v/>
      </c>
      <c r="AI87" s="19" t="str">
        <f aca="false">IF(U87&lt;&gt;"Closed","",COUNTIFS($U$7:$U$506,"Closed",$P$7:$P$506,"&lt;"&amp;P87)+COUNTIFS($U$7:U87,"Closed",$P$7:P87,P87))</f>
        <v/>
      </c>
    </row>
    <row r="88" customFormat="false" ht="15" hidden="false" customHeight="false" outlineLevel="0" collapsed="false">
      <c r="A88" s="13"/>
      <c r="B88" s="48"/>
      <c r="C88" s="48"/>
      <c r="D88" s="48"/>
      <c r="E88" s="15"/>
      <c r="F88" s="15"/>
      <c r="G88" s="16"/>
      <c r="H88" s="17"/>
      <c r="I88" s="17"/>
      <c r="J88" s="17"/>
      <c r="K88" s="17"/>
      <c r="L88" s="16"/>
      <c r="M88" s="17"/>
      <c r="N88" s="16"/>
      <c r="O88" s="17"/>
      <c r="P88" s="15"/>
      <c r="Q88" s="17"/>
      <c r="R88" s="17"/>
      <c r="S88" s="17"/>
      <c r="T88" s="17"/>
      <c r="U88" s="18" t="str">
        <f aca="false">IF(A88="","",IF(N(G88)-N(L88)-N(N88)&lt;0,"Check shares",IF(AND(P88&lt;&gt;"",Q88&lt;&gt;""),"Closed","Open")))</f>
        <v/>
      </c>
      <c r="V88" s="19" t="str">
        <f aca="false">IF(OR(F88="",P88=""),"",NETWORKDAYS(F88,P88,Lists!$F$5:$F$40)-1)</f>
        <v/>
      </c>
      <c r="W88" s="18" t="str">
        <f aca="false">IF(V88="","",IF(V88=0,"Same day","Overnight"))</f>
        <v/>
      </c>
      <c r="X88" s="18" t="str">
        <f aca="false">IF(OR(E88="",F88=""),"",IF(AND(E88&gt;=F88,OR(P88="",E88&lt;=P88)),"Yes","No"))</f>
        <v/>
      </c>
      <c r="Y88" s="20" t="str">
        <f aca="false">IF(A88="","",N(G88)-N(L88)-N(N88))</f>
        <v/>
      </c>
      <c r="Z88" s="21" t="str">
        <f aca="false">IF(OR(G88="",H88="",I88=""),"",ABS(H88-I88)*G88)</f>
        <v/>
      </c>
      <c r="AA88" s="22" t="str">
        <f aca="false">IF(OR(J88="",N(Z88)=0),"",ABS(J88-H88)/ABS(H88-I88))</f>
        <v/>
      </c>
      <c r="AB88" s="23" t="str">
        <f aca="false">IF(U88&lt;&gt;"Closed","",(N(L88)*N(M88)+N(N88)*N(O88)+Y88*Q88)/G88)</f>
        <v/>
      </c>
      <c r="AC88" s="24" t="str">
        <f aca="false">IF(U88&lt;&gt;"Closed","",IF($B88="Short",-1,1)*((N(M88)-H88)*N(L88)+(N(O88)-H88)*N(N88)+(Q88-H88)*Y88)-N(R88))</f>
        <v/>
      </c>
      <c r="AD88" s="25" t="str">
        <f aca="false">IF(OR(AC88="",N(Z88)=0),"",AC88/Z88)</f>
        <v/>
      </c>
      <c r="AE88" s="25" t="str">
        <f aca="false">IF(OR(S88="",N(Z88)=0),"",IF($B88="Short",-1,1)*(S88-H88)*G88/Z88)</f>
        <v/>
      </c>
      <c r="AF88" s="25" t="str">
        <f aca="false">IF(OR(T88="",N(Z88)=0),"",IF($B88="Short",-1,1)*(T88-H88)*G88/Z88)</f>
        <v/>
      </c>
      <c r="AG88" s="21" t="str">
        <f aca="false">IF(U88&lt;&gt;"Open","",Y88*MAX(0,IF($B88="Short",-1,1)*(H88-IF(K88="",I88,K88))))</f>
        <v/>
      </c>
      <c r="AH88" s="26" t="str">
        <f aca="false">IF(U88&lt;&gt;"Closed","",DATE(YEAR(P88),MONTH(P88),1))</f>
        <v/>
      </c>
      <c r="AI88" s="19" t="str">
        <f aca="false">IF(U88&lt;&gt;"Closed","",COUNTIFS($U$7:$U$506,"Closed",$P$7:$P$506,"&lt;"&amp;P88)+COUNTIFS($U$7:U88,"Closed",$P$7:P88,P88))</f>
        <v/>
      </c>
    </row>
    <row r="89" customFormat="false" ht="15" hidden="false" customHeight="false" outlineLevel="0" collapsed="false">
      <c r="A89" s="13"/>
      <c r="B89" s="48"/>
      <c r="C89" s="48"/>
      <c r="D89" s="48"/>
      <c r="E89" s="15"/>
      <c r="F89" s="15"/>
      <c r="G89" s="16"/>
      <c r="H89" s="17"/>
      <c r="I89" s="17"/>
      <c r="J89" s="17"/>
      <c r="K89" s="17"/>
      <c r="L89" s="16"/>
      <c r="M89" s="17"/>
      <c r="N89" s="16"/>
      <c r="O89" s="17"/>
      <c r="P89" s="15"/>
      <c r="Q89" s="17"/>
      <c r="R89" s="17"/>
      <c r="S89" s="17"/>
      <c r="T89" s="17"/>
      <c r="U89" s="18" t="str">
        <f aca="false">IF(A89="","",IF(N(G89)-N(L89)-N(N89)&lt;0,"Check shares",IF(AND(P89&lt;&gt;"",Q89&lt;&gt;""),"Closed","Open")))</f>
        <v/>
      </c>
      <c r="V89" s="19" t="str">
        <f aca="false">IF(OR(F89="",P89=""),"",NETWORKDAYS(F89,P89,Lists!$F$5:$F$40)-1)</f>
        <v/>
      </c>
      <c r="W89" s="18" t="str">
        <f aca="false">IF(V89="","",IF(V89=0,"Same day","Overnight"))</f>
        <v/>
      </c>
      <c r="X89" s="18" t="str">
        <f aca="false">IF(OR(E89="",F89=""),"",IF(AND(E89&gt;=F89,OR(P89="",E89&lt;=P89)),"Yes","No"))</f>
        <v/>
      </c>
      <c r="Y89" s="20" t="str">
        <f aca="false">IF(A89="","",N(G89)-N(L89)-N(N89))</f>
        <v/>
      </c>
      <c r="Z89" s="21" t="str">
        <f aca="false">IF(OR(G89="",H89="",I89=""),"",ABS(H89-I89)*G89)</f>
        <v/>
      </c>
      <c r="AA89" s="22" t="str">
        <f aca="false">IF(OR(J89="",N(Z89)=0),"",ABS(J89-H89)/ABS(H89-I89))</f>
        <v/>
      </c>
      <c r="AB89" s="23" t="str">
        <f aca="false">IF(U89&lt;&gt;"Closed","",(N(L89)*N(M89)+N(N89)*N(O89)+Y89*Q89)/G89)</f>
        <v/>
      </c>
      <c r="AC89" s="24" t="str">
        <f aca="false">IF(U89&lt;&gt;"Closed","",IF($B89="Short",-1,1)*((N(M89)-H89)*N(L89)+(N(O89)-H89)*N(N89)+(Q89-H89)*Y89)-N(R89))</f>
        <v/>
      </c>
      <c r="AD89" s="25" t="str">
        <f aca="false">IF(OR(AC89="",N(Z89)=0),"",AC89/Z89)</f>
        <v/>
      </c>
      <c r="AE89" s="25" t="str">
        <f aca="false">IF(OR(S89="",N(Z89)=0),"",IF($B89="Short",-1,1)*(S89-H89)*G89/Z89)</f>
        <v/>
      </c>
      <c r="AF89" s="25" t="str">
        <f aca="false">IF(OR(T89="",N(Z89)=0),"",IF($B89="Short",-1,1)*(T89-H89)*G89/Z89)</f>
        <v/>
      </c>
      <c r="AG89" s="21" t="str">
        <f aca="false">IF(U89&lt;&gt;"Open","",Y89*MAX(0,IF($B89="Short",-1,1)*(H89-IF(K89="",I89,K89))))</f>
        <v/>
      </c>
      <c r="AH89" s="26" t="str">
        <f aca="false">IF(U89&lt;&gt;"Closed","",DATE(YEAR(P89),MONTH(P89),1))</f>
        <v/>
      </c>
      <c r="AI89" s="19" t="str">
        <f aca="false">IF(U89&lt;&gt;"Closed","",COUNTIFS($U$7:$U$506,"Closed",$P$7:$P$506,"&lt;"&amp;P89)+COUNTIFS($U$7:U89,"Closed",$P$7:P89,P89))</f>
        <v/>
      </c>
    </row>
    <row r="90" customFormat="false" ht="15" hidden="false" customHeight="false" outlineLevel="0" collapsed="false">
      <c r="A90" s="13"/>
      <c r="B90" s="48"/>
      <c r="C90" s="48"/>
      <c r="D90" s="48"/>
      <c r="E90" s="15"/>
      <c r="F90" s="15"/>
      <c r="G90" s="16"/>
      <c r="H90" s="17"/>
      <c r="I90" s="17"/>
      <c r="J90" s="17"/>
      <c r="K90" s="17"/>
      <c r="L90" s="16"/>
      <c r="M90" s="17"/>
      <c r="N90" s="16"/>
      <c r="O90" s="17"/>
      <c r="P90" s="15"/>
      <c r="Q90" s="17"/>
      <c r="R90" s="17"/>
      <c r="S90" s="17"/>
      <c r="T90" s="17"/>
      <c r="U90" s="18" t="str">
        <f aca="false">IF(A90="","",IF(N(G90)-N(L90)-N(N90)&lt;0,"Check shares",IF(AND(P90&lt;&gt;"",Q90&lt;&gt;""),"Closed","Open")))</f>
        <v/>
      </c>
      <c r="V90" s="19" t="str">
        <f aca="false">IF(OR(F90="",P90=""),"",NETWORKDAYS(F90,P90,Lists!$F$5:$F$40)-1)</f>
        <v/>
      </c>
      <c r="W90" s="18" t="str">
        <f aca="false">IF(V90="","",IF(V90=0,"Same day","Overnight"))</f>
        <v/>
      </c>
      <c r="X90" s="18" t="str">
        <f aca="false">IF(OR(E90="",F90=""),"",IF(AND(E90&gt;=F90,OR(P90="",E90&lt;=P90)),"Yes","No"))</f>
        <v/>
      </c>
      <c r="Y90" s="20" t="str">
        <f aca="false">IF(A90="","",N(G90)-N(L90)-N(N90))</f>
        <v/>
      </c>
      <c r="Z90" s="21" t="str">
        <f aca="false">IF(OR(G90="",H90="",I90=""),"",ABS(H90-I90)*G90)</f>
        <v/>
      </c>
      <c r="AA90" s="22" t="str">
        <f aca="false">IF(OR(J90="",N(Z90)=0),"",ABS(J90-H90)/ABS(H90-I90))</f>
        <v/>
      </c>
      <c r="AB90" s="23" t="str">
        <f aca="false">IF(U90&lt;&gt;"Closed","",(N(L90)*N(M90)+N(N90)*N(O90)+Y90*Q90)/G90)</f>
        <v/>
      </c>
      <c r="AC90" s="24" t="str">
        <f aca="false">IF(U90&lt;&gt;"Closed","",IF($B90="Short",-1,1)*((N(M90)-H90)*N(L90)+(N(O90)-H90)*N(N90)+(Q90-H90)*Y90)-N(R90))</f>
        <v/>
      </c>
      <c r="AD90" s="25" t="str">
        <f aca="false">IF(OR(AC90="",N(Z90)=0),"",AC90/Z90)</f>
        <v/>
      </c>
      <c r="AE90" s="25" t="str">
        <f aca="false">IF(OR(S90="",N(Z90)=0),"",IF($B90="Short",-1,1)*(S90-H90)*G90/Z90)</f>
        <v/>
      </c>
      <c r="AF90" s="25" t="str">
        <f aca="false">IF(OR(T90="",N(Z90)=0),"",IF($B90="Short",-1,1)*(T90-H90)*G90/Z90)</f>
        <v/>
      </c>
      <c r="AG90" s="21" t="str">
        <f aca="false">IF(U90&lt;&gt;"Open","",Y90*MAX(0,IF($B90="Short",-1,1)*(H90-IF(K90="",I90,K90))))</f>
        <v/>
      </c>
      <c r="AH90" s="26" t="str">
        <f aca="false">IF(U90&lt;&gt;"Closed","",DATE(YEAR(P90),MONTH(P90),1))</f>
        <v/>
      </c>
      <c r="AI90" s="19" t="str">
        <f aca="false">IF(U90&lt;&gt;"Closed","",COUNTIFS($U$7:$U$506,"Closed",$P$7:$P$506,"&lt;"&amp;P90)+COUNTIFS($U$7:U90,"Closed",$P$7:P90,P90))</f>
        <v/>
      </c>
    </row>
    <row r="91" customFormat="false" ht="15" hidden="false" customHeight="false" outlineLevel="0" collapsed="false">
      <c r="A91" s="13"/>
      <c r="B91" s="48"/>
      <c r="C91" s="48"/>
      <c r="D91" s="48"/>
      <c r="E91" s="15"/>
      <c r="F91" s="15"/>
      <c r="G91" s="16"/>
      <c r="H91" s="17"/>
      <c r="I91" s="17"/>
      <c r="J91" s="17"/>
      <c r="K91" s="17"/>
      <c r="L91" s="16"/>
      <c r="M91" s="17"/>
      <c r="N91" s="16"/>
      <c r="O91" s="17"/>
      <c r="P91" s="15"/>
      <c r="Q91" s="17"/>
      <c r="R91" s="17"/>
      <c r="S91" s="17"/>
      <c r="T91" s="17"/>
      <c r="U91" s="18" t="str">
        <f aca="false">IF(A91="","",IF(N(G91)-N(L91)-N(N91)&lt;0,"Check shares",IF(AND(P91&lt;&gt;"",Q91&lt;&gt;""),"Closed","Open")))</f>
        <v/>
      </c>
      <c r="V91" s="19" t="str">
        <f aca="false">IF(OR(F91="",P91=""),"",NETWORKDAYS(F91,P91,Lists!$F$5:$F$40)-1)</f>
        <v/>
      </c>
      <c r="W91" s="18" t="str">
        <f aca="false">IF(V91="","",IF(V91=0,"Same day","Overnight"))</f>
        <v/>
      </c>
      <c r="X91" s="18" t="str">
        <f aca="false">IF(OR(E91="",F91=""),"",IF(AND(E91&gt;=F91,OR(P91="",E91&lt;=P91)),"Yes","No"))</f>
        <v/>
      </c>
      <c r="Y91" s="20" t="str">
        <f aca="false">IF(A91="","",N(G91)-N(L91)-N(N91))</f>
        <v/>
      </c>
      <c r="Z91" s="21" t="str">
        <f aca="false">IF(OR(G91="",H91="",I91=""),"",ABS(H91-I91)*G91)</f>
        <v/>
      </c>
      <c r="AA91" s="22" t="str">
        <f aca="false">IF(OR(J91="",N(Z91)=0),"",ABS(J91-H91)/ABS(H91-I91))</f>
        <v/>
      </c>
      <c r="AB91" s="23" t="str">
        <f aca="false">IF(U91&lt;&gt;"Closed","",(N(L91)*N(M91)+N(N91)*N(O91)+Y91*Q91)/G91)</f>
        <v/>
      </c>
      <c r="AC91" s="24" t="str">
        <f aca="false">IF(U91&lt;&gt;"Closed","",IF($B91="Short",-1,1)*((N(M91)-H91)*N(L91)+(N(O91)-H91)*N(N91)+(Q91-H91)*Y91)-N(R91))</f>
        <v/>
      </c>
      <c r="AD91" s="25" t="str">
        <f aca="false">IF(OR(AC91="",N(Z91)=0),"",AC91/Z91)</f>
        <v/>
      </c>
      <c r="AE91" s="25" t="str">
        <f aca="false">IF(OR(S91="",N(Z91)=0),"",IF($B91="Short",-1,1)*(S91-H91)*G91/Z91)</f>
        <v/>
      </c>
      <c r="AF91" s="25" t="str">
        <f aca="false">IF(OR(T91="",N(Z91)=0),"",IF($B91="Short",-1,1)*(T91-H91)*G91/Z91)</f>
        <v/>
      </c>
      <c r="AG91" s="21" t="str">
        <f aca="false">IF(U91&lt;&gt;"Open","",Y91*MAX(0,IF($B91="Short",-1,1)*(H91-IF(K91="",I91,K91))))</f>
        <v/>
      </c>
      <c r="AH91" s="26" t="str">
        <f aca="false">IF(U91&lt;&gt;"Closed","",DATE(YEAR(P91),MONTH(P91),1))</f>
        <v/>
      </c>
      <c r="AI91" s="19" t="str">
        <f aca="false">IF(U91&lt;&gt;"Closed","",COUNTIFS($U$7:$U$506,"Closed",$P$7:$P$506,"&lt;"&amp;P91)+COUNTIFS($U$7:U91,"Closed",$P$7:P91,P91))</f>
        <v/>
      </c>
    </row>
    <row r="92" customFormat="false" ht="15" hidden="false" customHeight="false" outlineLevel="0" collapsed="false">
      <c r="A92" s="13"/>
      <c r="B92" s="48"/>
      <c r="C92" s="48"/>
      <c r="D92" s="48"/>
      <c r="E92" s="15"/>
      <c r="F92" s="15"/>
      <c r="G92" s="16"/>
      <c r="H92" s="17"/>
      <c r="I92" s="17"/>
      <c r="J92" s="17"/>
      <c r="K92" s="17"/>
      <c r="L92" s="16"/>
      <c r="M92" s="17"/>
      <c r="N92" s="16"/>
      <c r="O92" s="17"/>
      <c r="P92" s="15"/>
      <c r="Q92" s="17"/>
      <c r="R92" s="17"/>
      <c r="S92" s="17"/>
      <c r="T92" s="17"/>
      <c r="U92" s="18" t="str">
        <f aca="false">IF(A92="","",IF(N(G92)-N(L92)-N(N92)&lt;0,"Check shares",IF(AND(P92&lt;&gt;"",Q92&lt;&gt;""),"Closed","Open")))</f>
        <v/>
      </c>
      <c r="V92" s="19" t="str">
        <f aca="false">IF(OR(F92="",P92=""),"",NETWORKDAYS(F92,P92,Lists!$F$5:$F$40)-1)</f>
        <v/>
      </c>
      <c r="W92" s="18" t="str">
        <f aca="false">IF(V92="","",IF(V92=0,"Same day","Overnight"))</f>
        <v/>
      </c>
      <c r="X92" s="18" t="str">
        <f aca="false">IF(OR(E92="",F92=""),"",IF(AND(E92&gt;=F92,OR(P92="",E92&lt;=P92)),"Yes","No"))</f>
        <v/>
      </c>
      <c r="Y92" s="20" t="str">
        <f aca="false">IF(A92="","",N(G92)-N(L92)-N(N92))</f>
        <v/>
      </c>
      <c r="Z92" s="21" t="str">
        <f aca="false">IF(OR(G92="",H92="",I92=""),"",ABS(H92-I92)*G92)</f>
        <v/>
      </c>
      <c r="AA92" s="22" t="str">
        <f aca="false">IF(OR(J92="",N(Z92)=0),"",ABS(J92-H92)/ABS(H92-I92))</f>
        <v/>
      </c>
      <c r="AB92" s="23" t="str">
        <f aca="false">IF(U92&lt;&gt;"Closed","",(N(L92)*N(M92)+N(N92)*N(O92)+Y92*Q92)/G92)</f>
        <v/>
      </c>
      <c r="AC92" s="24" t="str">
        <f aca="false">IF(U92&lt;&gt;"Closed","",IF($B92="Short",-1,1)*((N(M92)-H92)*N(L92)+(N(O92)-H92)*N(N92)+(Q92-H92)*Y92)-N(R92))</f>
        <v/>
      </c>
      <c r="AD92" s="25" t="str">
        <f aca="false">IF(OR(AC92="",N(Z92)=0),"",AC92/Z92)</f>
        <v/>
      </c>
      <c r="AE92" s="25" t="str">
        <f aca="false">IF(OR(S92="",N(Z92)=0),"",IF($B92="Short",-1,1)*(S92-H92)*G92/Z92)</f>
        <v/>
      </c>
      <c r="AF92" s="25" t="str">
        <f aca="false">IF(OR(T92="",N(Z92)=0),"",IF($B92="Short",-1,1)*(T92-H92)*G92/Z92)</f>
        <v/>
      </c>
      <c r="AG92" s="21" t="str">
        <f aca="false">IF(U92&lt;&gt;"Open","",Y92*MAX(0,IF($B92="Short",-1,1)*(H92-IF(K92="",I92,K92))))</f>
        <v/>
      </c>
      <c r="AH92" s="26" t="str">
        <f aca="false">IF(U92&lt;&gt;"Closed","",DATE(YEAR(P92),MONTH(P92),1))</f>
        <v/>
      </c>
      <c r="AI92" s="19" t="str">
        <f aca="false">IF(U92&lt;&gt;"Closed","",COUNTIFS($U$7:$U$506,"Closed",$P$7:$P$506,"&lt;"&amp;P92)+COUNTIFS($U$7:U92,"Closed",$P$7:P92,P92))</f>
        <v/>
      </c>
    </row>
    <row r="93" customFormat="false" ht="15" hidden="false" customHeight="false" outlineLevel="0" collapsed="false">
      <c r="A93" s="13"/>
      <c r="B93" s="48"/>
      <c r="C93" s="48"/>
      <c r="D93" s="48"/>
      <c r="E93" s="15"/>
      <c r="F93" s="15"/>
      <c r="G93" s="16"/>
      <c r="H93" s="17"/>
      <c r="I93" s="17"/>
      <c r="J93" s="17"/>
      <c r="K93" s="17"/>
      <c r="L93" s="16"/>
      <c r="M93" s="17"/>
      <c r="N93" s="16"/>
      <c r="O93" s="17"/>
      <c r="P93" s="15"/>
      <c r="Q93" s="17"/>
      <c r="R93" s="17"/>
      <c r="S93" s="17"/>
      <c r="T93" s="17"/>
      <c r="U93" s="18" t="str">
        <f aca="false">IF(A93="","",IF(N(G93)-N(L93)-N(N93)&lt;0,"Check shares",IF(AND(P93&lt;&gt;"",Q93&lt;&gt;""),"Closed","Open")))</f>
        <v/>
      </c>
      <c r="V93" s="19" t="str">
        <f aca="false">IF(OR(F93="",P93=""),"",NETWORKDAYS(F93,P93,Lists!$F$5:$F$40)-1)</f>
        <v/>
      </c>
      <c r="W93" s="18" t="str">
        <f aca="false">IF(V93="","",IF(V93=0,"Same day","Overnight"))</f>
        <v/>
      </c>
      <c r="X93" s="18" t="str">
        <f aca="false">IF(OR(E93="",F93=""),"",IF(AND(E93&gt;=F93,OR(P93="",E93&lt;=P93)),"Yes","No"))</f>
        <v/>
      </c>
      <c r="Y93" s="20" t="str">
        <f aca="false">IF(A93="","",N(G93)-N(L93)-N(N93))</f>
        <v/>
      </c>
      <c r="Z93" s="21" t="str">
        <f aca="false">IF(OR(G93="",H93="",I93=""),"",ABS(H93-I93)*G93)</f>
        <v/>
      </c>
      <c r="AA93" s="22" t="str">
        <f aca="false">IF(OR(J93="",N(Z93)=0),"",ABS(J93-H93)/ABS(H93-I93))</f>
        <v/>
      </c>
      <c r="AB93" s="23" t="str">
        <f aca="false">IF(U93&lt;&gt;"Closed","",(N(L93)*N(M93)+N(N93)*N(O93)+Y93*Q93)/G93)</f>
        <v/>
      </c>
      <c r="AC93" s="24" t="str">
        <f aca="false">IF(U93&lt;&gt;"Closed","",IF($B93="Short",-1,1)*((N(M93)-H93)*N(L93)+(N(O93)-H93)*N(N93)+(Q93-H93)*Y93)-N(R93))</f>
        <v/>
      </c>
      <c r="AD93" s="25" t="str">
        <f aca="false">IF(OR(AC93="",N(Z93)=0),"",AC93/Z93)</f>
        <v/>
      </c>
      <c r="AE93" s="25" t="str">
        <f aca="false">IF(OR(S93="",N(Z93)=0),"",IF($B93="Short",-1,1)*(S93-H93)*G93/Z93)</f>
        <v/>
      </c>
      <c r="AF93" s="25" t="str">
        <f aca="false">IF(OR(T93="",N(Z93)=0),"",IF($B93="Short",-1,1)*(T93-H93)*G93/Z93)</f>
        <v/>
      </c>
      <c r="AG93" s="21" t="str">
        <f aca="false">IF(U93&lt;&gt;"Open","",Y93*MAX(0,IF($B93="Short",-1,1)*(H93-IF(K93="",I93,K93))))</f>
        <v/>
      </c>
      <c r="AH93" s="26" t="str">
        <f aca="false">IF(U93&lt;&gt;"Closed","",DATE(YEAR(P93),MONTH(P93),1))</f>
        <v/>
      </c>
      <c r="AI93" s="19" t="str">
        <f aca="false">IF(U93&lt;&gt;"Closed","",COUNTIFS($U$7:$U$506,"Closed",$P$7:$P$506,"&lt;"&amp;P93)+COUNTIFS($U$7:U93,"Closed",$P$7:P93,P93))</f>
        <v/>
      </c>
    </row>
    <row r="94" customFormat="false" ht="15" hidden="false" customHeight="false" outlineLevel="0" collapsed="false">
      <c r="A94" s="13"/>
      <c r="B94" s="48"/>
      <c r="C94" s="48"/>
      <c r="D94" s="48"/>
      <c r="E94" s="15"/>
      <c r="F94" s="15"/>
      <c r="G94" s="16"/>
      <c r="H94" s="17"/>
      <c r="I94" s="17"/>
      <c r="J94" s="17"/>
      <c r="K94" s="17"/>
      <c r="L94" s="16"/>
      <c r="M94" s="17"/>
      <c r="N94" s="16"/>
      <c r="O94" s="17"/>
      <c r="P94" s="15"/>
      <c r="Q94" s="17"/>
      <c r="R94" s="17"/>
      <c r="S94" s="17"/>
      <c r="T94" s="17"/>
      <c r="U94" s="18" t="str">
        <f aca="false">IF(A94="","",IF(N(G94)-N(L94)-N(N94)&lt;0,"Check shares",IF(AND(P94&lt;&gt;"",Q94&lt;&gt;""),"Closed","Open")))</f>
        <v/>
      </c>
      <c r="V94" s="19" t="str">
        <f aca="false">IF(OR(F94="",P94=""),"",NETWORKDAYS(F94,P94,Lists!$F$5:$F$40)-1)</f>
        <v/>
      </c>
      <c r="W94" s="18" t="str">
        <f aca="false">IF(V94="","",IF(V94=0,"Same day","Overnight"))</f>
        <v/>
      </c>
      <c r="X94" s="18" t="str">
        <f aca="false">IF(OR(E94="",F94=""),"",IF(AND(E94&gt;=F94,OR(P94="",E94&lt;=P94)),"Yes","No"))</f>
        <v/>
      </c>
      <c r="Y94" s="20" t="str">
        <f aca="false">IF(A94="","",N(G94)-N(L94)-N(N94))</f>
        <v/>
      </c>
      <c r="Z94" s="21" t="str">
        <f aca="false">IF(OR(G94="",H94="",I94=""),"",ABS(H94-I94)*G94)</f>
        <v/>
      </c>
      <c r="AA94" s="22" t="str">
        <f aca="false">IF(OR(J94="",N(Z94)=0),"",ABS(J94-H94)/ABS(H94-I94))</f>
        <v/>
      </c>
      <c r="AB94" s="23" t="str">
        <f aca="false">IF(U94&lt;&gt;"Closed","",(N(L94)*N(M94)+N(N94)*N(O94)+Y94*Q94)/G94)</f>
        <v/>
      </c>
      <c r="AC94" s="24" t="str">
        <f aca="false">IF(U94&lt;&gt;"Closed","",IF($B94="Short",-1,1)*((N(M94)-H94)*N(L94)+(N(O94)-H94)*N(N94)+(Q94-H94)*Y94)-N(R94))</f>
        <v/>
      </c>
      <c r="AD94" s="25" t="str">
        <f aca="false">IF(OR(AC94="",N(Z94)=0),"",AC94/Z94)</f>
        <v/>
      </c>
      <c r="AE94" s="25" t="str">
        <f aca="false">IF(OR(S94="",N(Z94)=0),"",IF($B94="Short",-1,1)*(S94-H94)*G94/Z94)</f>
        <v/>
      </c>
      <c r="AF94" s="25" t="str">
        <f aca="false">IF(OR(T94="",N(Z94)=0),"",IF($B94="Short",-1,1)*(T94-H94)*G94/Z94)</f>
        <v/>
      </c>
      <c r="AG94" s="21" t="str">
        <f aca="false">IF(U94&lt;&gt;"Open","",Y94*MAX(0,IF($B94="Short",-1,1)*(H94-IF(K94="",I94,K94))))</f>
        <v/>
      </c>
      <c r="AH94" s="26" t="str">
        <f aca="false">IF(U94&lt;&gt;"Closed","",DATE(YEAR(P94),MONTH(P94),1))</f>
        <v/>
      </c>
      <c r="AI94" s="19" t="str">
        <f aca="false">IF(U94&lt;&gt;"Closed","",COUNTIFS($U$7:$U$506,"Closed",$P$7:$P$506,"&lt;"&amp;P94)+COUNTIFS($U$7:U94,"Closed",$P$7:P94,P94))</f>
        <v/>
      </c>
    </row>
    <row r="95" customFormat="false" ht="15" hidden="false" customHeight="false" outlineLevel="0" collapsed="false">
      <c r="A95" s="13"/>
      <c r="B95" s="48"/>
      <c r="C95" s="48"/>
      <c r="D95" s="48"/>
      <c r="E95" s="15"/>
      <c r="F95" s="15"/>
      <c r="G95" s="16"/>
      <c r="H95" s="17"/>
      <c r="I95" s="17"/>
      <c r="J95" s="17"/>
      <c r="K95" s="17"/>
      <c r="L95" s="16"/>
      <c r="M95" s="17"/>
      <c r="N95" s="16"/>
      <c r="O95" s="17"/>
      <c r="P95" s="15"/>
      <c r="Q95" s="17"/>
      <c r="R95" s="17"/>
      <c r="S95" s="17"/>
      <c r="T95" s="17"/>
      <c r="U95" s="18" t="str">
        <f aca="false">IF(A95="","",IF(N(G95)-N(L95)-N(N95)&lt;0,"Check shares",IF(AND(P95&lt;&gt;"",Q95&lt;&gt;""),"Closed","Open")))</f>
        <v/>
      </c>
      <c r="V95" s="19" t="str">
        <f aca="false">IF(OR(F95="",P95=""),"",NETWORKDAYS(F95,P95,Lists!$F$5:$F$40)-1)</f>
        <v/>
      </c>
      <c r="W95" s="18" t="str">
        <f aca="false">IF(V95="","",IF(V95=0,"Same day","Overnight"))</f>
        <v/>
      </c>
      <c r="X95" s="18" t="str">
        <f aca="false">IF(OR(E95="",F95=""),"",IF(AND(E95&gt;=F95,OR(P95="",E95&lt;=P95)),"Yes","No"))</f>
        <v/>
      </c>
      <c r="Y95" s="20" t="str">
        <f aca="false">IF(A95="","",N(G95)-N(L95)-N(N95))</f>
        <v/>
      </c>
      <c r="Z95" s="21" t="str">
        <f aca="false">IF(OR(G95="",H95="",I95=""),"",ABS(H95-I95)*G95)</f>
        <v/>
      </c>
      <c r="AA95" s="22" t="str">
        <f aca="false">IF(OR(J95="",N(Z95)=0),"",ABS(J95-H95)/ABS(H95-I95))</f>
        <v/>
      </c>
      <c r="AB95" s="23" t="str">
        <f aca="false">IF(U95&lt;&gt;"Closed","",(N(L95)*N(M95)+N(N95)*N(O95)+Y95*Q95)/G95)</f>
        <v/>
      </c>
      <c r="AC95" s="24" t="str">
        <f aca="false">IF(U95&lt;&gt;"Closed","",IF($B95="Short",-1,1)*((N(M95)-H95)*N(L95)+(N(O95)-H95)*N(N95)+(Q95-H95)*Y95)-N(R95))</f>
        <v/>
      </c>
      <c r="AD95" s="25" t="str">
        <f aca="false">IF(OR(AC95="",N(Z95)=0),"",AC95/Z95)</f>
        <v/>
      </c>
      <c r="AE95" s="25" t="str">
        <f aca="false">IF(OR(S95="",N(Z95)=0),"",IF($B95="Short",-1,1)*(S95-H95)*G95/Z95)</f>
        <v/>
      </c>
      <c r="AF95" s="25" t="str">
        <f aca="false">IF(OR(T95="",N(Z95)=0),"",IF($B95="Short",-1,1)*(T95-H95)*G95/Z95)</f>
        <v/>
      </c>
      <c r="AG95" s="21" t="str">
        <f aca="false">IF(U95&lt;&gt;"Open","",Y95*MAX(0,IF($B95="Short",-1,1)*(H95-IF(K95="",I95,K95))))</f>
        <v/>
      </c>
      <c r="AH95" s="26" t="str">
        <f aca="false">IF(U95&lt;&gt;"Closed","",DATE(YEAR(P95),MONTH(P95),1))</f>
        <v/>
      </c>
      <c r="AI95" s="19" t="str">
        <f aca="false">IF(U95&lt;&gt;"Closed","",COUNTIFS($U$7:$U$506,"Closed",$P$7:$P$506,"&lt;"&amp;P95)+COUNTIFS($U$7:U95,"Closed",$P$7:P95,P95))</f>
        <v/>
      </c>
    </row>
    <row r="96" customFormat="false" ht="15" hidden="false" customHeight="false" outlineLevel="0" collapsed="false">
      <c r="A96" s="13"/>
      <c r="B96" s="48"/>
      <c r="C96" s="48"/>
      <c r="D96" s="48"/>
      <c r="E96" s="15"/>
      <c r="F96" s="15"/>
      <c r="G96" s="16"/>
      <c r="H96" s="17"/>
      <c r="I96" s="17"/>
      <c r="J96" s="17"/>
      <c r="K96" s="17"/>
      <c r="L96" s="16"/>
      <c r="M96" s="17"/>
      <c r="N96" s="16"/>
      <c r="O96" s="17"/>
      <c r="P96" s="15"/>
      <c r="Q96" s="17"/>
      <c r="R96" s="17"/>
      <c r="S96" s="17"/>
      <c r="T96" s="17"/>
      <c r="U96" s="18" t="str">
        <f aca="false">IF(A96="","",IF(N(G96)-N(L96)-N(N96)&lt;0,"Check shares",IF(AND(P96&lt;&gt;"",Q96&lt;&gt;""),"Closed","Open")))</f>
        <v/>
      </c>
      <c r="V96" s="19" t="str">
        <f aca="false">IF(OR(F96="",P96=""),"",NETWORKDAYS(F96,P96,Lists!$F$5:$F$40)-1)</f>
        <v/>
      </c>
      <c r="W96" s="18" t="str">
        <f aca="false">IF(V96="","",IF(V96=0,"Same day","Overnight"))</f>
        <v/>
      </c>
      <c r="X96" s="18" t="str">
        <f aca="false">IF(OR(E96="",F96=""),"",IF(AND(E96&gt;=F96,OR(P96="",E96&lt;=P96)),"Yes","No"))</f>
        <v/>
      </c>
      <c r="Y96" s="20" t="str">
        <f aca="false">IF(A96="","",N(G96)-N(L96)-N(N96))</f>
        <v/>
      </c>
      <c r="Z96" s="21" t="str">
        <f aca="false">IF(OR(G96="",H96="",I96=""),"",ABS(H96-I96)*G96)</f>
        <v/>
      </c>
      <c r="AA96" s="22" t="str">
        <f aca="false">IF(OR(J96="",N(Z96)=0),"",ABS(J96-H96)/ABS(H96-I96))</f>
        <v/>
      </c>
      <c r="AB96" s="23" t="str">
        <f aca="false">IF(U96&lt;&gt;"Closed","",(N(L96)*N(M96)+N(N96)*N(O96)+Y96*Q96)/G96)</f>
        <v/>
      </c>
      <c r="AC96" s="24" t="str">
        <f aca="false">IF(U96&lt;&gt;"Closed","",IF($B96="Short",-1,1)*((N(M96)-H96)*N(L96)+(N(O96)-H96)*N(N96)+(Q96-H96)*Y96)-N(R96))</f>
        <v/>
      </c>
      <c r="AD96" s="25" t="str">
        <f aca="false">IF(OR(AC96="",N(Z96)=0),"",AC96/Z96)</f>
        <v/>
      </c>
      <c r="AE96" s="25" t="str">
        <f aca="false">IF(OR(S96="",N(Z96)=0),"",IF($B96="Short",-1,1)*(S96-H96)*G96/Z96)</f>
        <v/>
      </c>
      <c r="AF96" s="25" t="str">
        <f aca="false">IF(OR(T96="",N(Z96)=0),"",IF($B96="Short",-1,1)*(T96-H96)*G96/Z96)</f>
        <v/>
      </c>
      <c r="AG96" s="21" t="str">
        <f aca="false">IF(U96&lt;&gt;"Open","",Y96*MAX(0,IF($B96="Short",-1,1)*(H96-IF(K96="",I96,K96))))</f>
        <v/>
      </c>
      <c r="AH96" s="26" t="str">
        <f aca="false">IF(U96&lt;&gt;"Closed","",DATE(YEAR(P96),MONTH(P96),1))</f>
        <v/>
      </c>
      <c r="AI96" s="19" t="str">
        <f aca="false">IF(U96&lt;&gt;"Closed","",COUNTIFS($U$7:$U$506,"Closed",$P$7:$P$506,"&lt;"&amp;P96)+COUNTIFS($U$7:U96,"Closed",$P$7:P96,P96))</f>
        <v/>
      </c>
    </row>
    <row r="97" customFormat="false" ht="15" hidden="false" customHeight="false" outlineLevel="0" collapsed="false">
      <c r="A97" s="13"/>
      <c r="B97" s="48"/>
      <c r="C97" s="48"/>
      <c r="D97" s="48"/>
      <c r="E97" s="15"/>
      <c r="F97" s="15"/>
      <c r="G97" s="16"/>
      <c r="H97" s="17"/>
      <c r="I97" s="17"/>
      <c r="J97" s="17"/>
      <c r="K97" s="17"/>
      <c r="L97" s="16"/>
      <c r="M97" s="17"/>
      <c r="N97" s="16"/>
      <c r="O97" s="17"/>
      <c r="P97" s="15"/>
      <c r="Q97" s="17"/>
      <c r="R97" s="17"/>
      <c r="S97" s="17"/>
      <c r="T97" s="17"/>
      <c r="U97" s="18" t="str">
        <f aca="false">IF(A97="","",IF(N(G97)-N(L97)-N(N97)&lt;0,"Check shares",IF(AND(P97&lt;&gt;"",Q97&lt;&gt;""),"Closed","Open")))</f>
        <v/>
      </c>
      <c r="V97" s="19" t="str">
        <f aca="false">IF(OR(F97="",P97=""),"",NETWORKDAYS(F97,P97,Lists!$F$5:$F$40)-1)</f>
        <v/>
      </c>
      <c r="W97" s="18" t="str">
        <f aca="false">IF(V97="","",IF(V97=0,"Same day","Overnight"))</f>
        <v/>
      </c>
      <c r="X97" s="18" t="str">
        <f aca="false">IF(OR(E97="",F97=""),"",IF(AND(E97&gt;=F97,OR(P97="",E97&lt;=P97)),"Yes","No"))</f>
        <v/>
      </c>
      <c r="Y97" s="20" t="str">
        <f aca="false">IF(A97="","",N(G97)-N(L97)-N(N97))</f>
        <v/>
      </c>
      <c r="Z97" s="21" t="str">
        <f aca="false">IF(OR(G97="",H97="",I97=""),"",ABS(H97-I97)*G97)</f>
        <v/>
      </c>
      <c r="AA97" s="22" t="str">
        <f aca="false">IF(OR(J97="",N(Z97)=0),"",ABS(J97-H97)/ABS(H97-I97))</f>
        <v/>
      </c>
      <c r="AB97" s="23" t="str">
        <f aca="false">IF(U97&lt;&gt;"Closed","",(N(L97)*N(M97)+N(N97)*N(O97)+Y97*Q97)/G97)</f>
        <v/>
      </c>
      <c r="AC97" s="24" t="str">
        <f aca="false">IF(U97&lt;&gt;"Closed","",IF($B97="Short",-1,1)*((N(M97)-H97)*N(L97)+(N(O97)-H97)*N(N97)+(Q97-H97)*Y97)-N(R97))</f>
        <v/>
      </c>
      <c r="AD97" s="25" t="str">
        <f aca="false">IF(OR(AC97="",N(Z97)=0),"",AC97/Z97)</f>
        <v/>
      </c>
      <c r="AE97" s="25" t="str">
        <f aca="false">IF(OR(S97="",N(Z97)=0),"",IF($B97="Short",-1,1)*(S97-H97)*G97/Z97)</f>
        <v/>
      </c>
      <c r="AF97" s="25" t="str">
        <f aca="false">IF(OR(T97="",N(Z97)=0),"",IF($B97="Short",-1,1)*(T97-H97)*G97/Z97)</f>
        <v/>
      </c>
      <c r="AG97" s="21" t="str">
        <f aca="false">IF(U97&lt;&gt;"Open","",Y97*MAX(0,IF($B97="Short",-1,1)*(H97-IF(K97="",I97,K97))))</f>
        <v/>
      </c>
      <c r="AH97" s="26" t="str">
        <f aca="false">IF(U97&lt;&gt;"Closed","",DATE(YEAR(P97),MONTH(P97),1))</f>
        <v/>
      </c>
      <c r="AI97" s="19" t="str">
        <f aca="false">IF(U97&lt;&gt;"Closed","",COUNTIFS($U$7:$U$506,"Closed",$P$7:$P$506,"&lt;"&amp;P97)+COUNTIFS($U$7:U97,"Closed",$P$7:P97,P97))</f>
        <v/>
      </c>
    </row>
    <row r="98" customFormat="false" ht="15" hidden="false" customHeight="false" outlineLevel="0" collapsed="false">
      <c r="A98" s="13"/>
      <c r="B98" s="48"/>
      <c r="C98" s="48"/>
      <c r="D98" s="48"/>
      <c r="E98" s="15"/>
      <c r="F98" s="15"/>
      <c r="G98" s="16"/>
      <c r="H98" s="17"/>
      <c r="I98" s="17"/>
      <c r="J98" s="17"/>
      <c r="K98" s="17"/>
      <c r="L98" s="16"/>
      <c r="M98" s="17"/>
      <c r="N98" s="16"/>
      <c r="O98" s="17"/>
      <c r="P98" s="15"/>
      <c r="Q98" s="17"/>
      <c r="R98" s="17"/>
      <c r="S98" s="17"/>
      <c r="T98" s="17"/>
      <c r="U98" s="18" t="str">
        <f aca="false">IF(A98="","",IF(N(G98)-N(L98)-N(N98)&lt;0,"Check shares",IF(AND(P98&lt;&gt;"",Q98&lt;&gt;""),"Closed","Open")))</f>
        <v/>
      </c>
      <c r="V98" s="19" t="str">
        <f aca="false">IF(OR(F98="",P98=""),"",NETWORKDAYS(F98,P98,Lists!$F$5:$F$40)-1)</f>
        <v/>
      </c>
      <c r="W98" s="18" t="str">
        <f aca="false">IF(V98="","",IF(V98=0,"Same day","Overnight"))</f>
        <v/>
      </c>
      <c r="X98" s="18" t="str">
        <f aca="false">IF(OR(E98="",F98=""),"",IF(AND(E98&gt;=F98,OR(P98="",E98&lt;=P98)),"Yes","No"))</f>
        <v/>
      </c>
      <c r="Y98" s="20" t="str">
        <f aca="false">IF(A98="","",N(G98)-N(L98)-N(N98))</f>
        <v/>
      </c>
      <c r="Z98" s="21" t="str">
        <f aca="false">IF(OR(G98="",H98="",I98=""),"",ABS(H98-I98)*G98)</f>
        <v/>
      </c>
      <c r="AA98" s="22" t="str">
        <f aca="false">IF(OR(J98="",N(Z98)=0),"",ABS(J98-H98)/ABS(H98-I98))</f>
        <v/>
      </c>
      <c r="AB98" s="23" t="str">
        <f aca="false">IF(U98&lt;&gt;"Closed","",(N(L98)*N(M98)+N(N98)*N(O98)+Y98*Q98)/G98)</f>
        <v/>
      </c>
      <c r="AC98" s="24" t="str">
        <f aca="false">IF(U98&lt;&gt;"Closed","",IF($B98="Short",-1,1)*((N(M98)-H98)*N(L98)+(N(O98)-H98)*N(N98)+(Q98-H98)*Y98)-N(R98))</f>
        <v/>
      </c>
      <c r="AD98" s="25" t="str">
        <f aca="false">IF(OR(AC98="",N(Z98)=0),"",AC98/Z98)</f>
        <v/>
      </c>
      <c r="AE98" s="25" t="str">
        <f aca="false">IF(OR(S98="",N(Z98)=0),"",IF($B98="Short",-1,1)*(S98-H98)*G98/Z98)</f>
        <v/>
      </c>
      <c r="AF98" s="25" t="str">
        <f aca="false">IF(OR(T98="",N(Z98)=0),"",IF($B98="Short",-1,1)*(T98-H98)*G98/Z98)</f>
        <v/>
      </c>
      <c r="AG98" s="21" t="str">
        <f aca="false">IF(U98&lt;&gt;"Open","",Y98*MAX(0,IF($B98="Short",-1,1)*(H98-IF(K98="",I98,K98))))</f>
        <v/>
      </c>
      <c r="AH98" s="26" t="str">
        <f aca="false">IF(U98&lt;&gt;"Closed","",DATE(YEAR(P98),MONTH(P98),1))</f>
        <v/>
      </c>
      <c r="AI98" s="19" t="str">
        <f aca="false">IF(U98&lt;&gt;"Closed","",COUNTIFS($U$7:$U$506,"Closed",$P$7:$P$506,"&lt;"&amp;P98)+COUNTIFS($U$7:U98,"Closed",$P$7:P98,P98))</f>
        <v/>
      </c>
    </row>
    <row r="99" customFormat="false" ht="15" hidden="false" customHeight="false" outlineLevel="0" collapsed="false">
      <c r="A99" s="13"/>
      <c r="B99" s="48"/>
      <c r="C99" s="48"/>
      <c r="D99" s="48"/>
      <c r="E99" s="15"/>
      <c r="F99" s="15"/>
      <c r="G99" s="16"/>
      <c r="H99" s="17"/>
      <c r="I99" s="17"/>
      <c r="J99" s="17"/>
      <c r="K99" s="17"/>
      <c r="L99" s="16"/>
      <c r="M99" s="17"/>
      <c r="N99" s="16"/>
      <c r="O99" s="17"/>
      <c r="P99" s="15"/>
      <c r="Q99" s="17"/>
      <c r="R99" s="17"/>
      <c r="S99" s="17"/>
      <c r="T99" s="17"/>
      <c r="U99" s="18" t="str">
        <f aca="false">IF(A99="","",IF(N(G99)-N(L99)-N(N99)&lt;0,"Check shares",IF(AND(P99&lt;&gt;"",Q99&lt;&gt;""),"Closed","Open")))</f>
        <v/>
      </c>
      <c r="V99" s="19" t="str">
        <f aca="false">IF(OR(F99="",P99=""),"",NETWORKDAYS(F99,P99,Lists!$F$5:$F$40)-1)</f>
        <v/>
      </c>
      <c r="W99" s="18" t="str">
        <f aca="false">IF(V99="","",IF(V99=0,"Same day","Overnight"))</f>
        <v/>
      </c>
      <c r="X99" s="18" t="str">
        <f aca="false">IF(OR(E99="",F99=""),"",IF(AND(E99&gt;=F99,OR(P99="",E99&lt;=P99)),"Yes","No"))</f>
        <v/>
      </c>
      <c r="Y99" s="20" t="str">
        <f aca="false">IF(A99="","",N(G99)-N(L99)-N(N99))</f>
        <v/>
      </c>
      <c r="Z99" s="21" t="str">
        <f aca="false">IF(OR(G99="",H99="",I99=""),"",ABS(H99-I99)*G99)</f>
        <v/>
      </c>
      <c r="AA99" s="22" t="str">
        <f aca="false">IF(OR(J99="",N(Z99)=0),"",ABS(J99-H99)/ABS(H99-I99))</f>
        <v/>
      </c>
      <c r="AB99" s="23" t="str">
        <f aca="false">IF(U99&lt;&gt;"Closed","",(N(L99)*N(M99)+N(N99)*N(O99)+Y99*Q99)/G99)</f>
        <v/>
      </c>
      <c r="AC99" s="24" t="str">
        <f aca="false">IF(U99&lt;&gt;"Closed","",IF($B99="Short",-1,1)*((N(M99)-H99)*N(L99)+(N(O99)-H99)*N(N99)+(Q99-H99)*Y99)-N(R99))</f>
        <v/>
      </c>
      <c r="AD99" s="25" t="str">
        <f aca="false">IF(OR(AC99="",N(Z99)=0),"",AC99/Z99)</f>
        <v/>
      </c>
      <c r="AE99" s="25" t="str">
        <f aca="false">IF(OR(S99="",N(Z99)=0),"",IF($B99="Short",-1,1)*(S99-H99)*G99/Z99)</f>
        <v/>
      </c>
      <c r="AF99" s="25" t="str">
        <f aca="false">IF(OR(T99="",N(Z99)=0),"",IF($B99="Short",-1,1)*(T99-H99)*G99/Z99)</f>
        <v/>
      </c>
      <c r="AG99" s="21" t="str">
        <f aca="false">IF(U99&lt;&gt;"Open","",Y99*MAX(0,IF($B99="Short",-1,1)*(H99-IF(K99="",I99,K99))))</f>
        <v/>
      </c>
      <c r="AH99" s="26" t="str">
        <f aca="false">IF(U99&lt;&gt;"Closed","",DATE(YEAR(P99),MONTH(P99),1))</f>
        <v/>
      </c>
      <c r="AI99" s="19" t="str">
        <f aca="false">IF(U99&lt;&gt;"Closed","",COUNTIFS($U$7:$U$506,"Closed",$P$7:$P$506,"&lt;"&amp;P99)+COUNTIFS($U$7:U99,"Closed",$P$7:P99,P99))</f>
        <v/>
      </c>
    </row>
    <row r="100" customFormat="false" ht="15" hidden="false" customHeight="false" outlineLevel="0" collapsed="false">
      <c r="A100" s="13"/>
      <c r="B100" s="48"/>
      <c r="C100" s="48"/>
      <c r="D100" s="48"/>
      <c r="E100" s="15"/>
      <c r="F100" s="15"/>
      <c r="G100" s="16"/>
      <c r="H100" s="17"/>
      <c r="I100" s="17"/>
      <c r="J100" s="17"/>
      <c r="K100" s="17"/>
      <c r="L100" s="16"/>
      <c r="M100" s="17"/>
      <c r="N100" s="16"/>
      <c r="O100" s="17"/>
      <c r="P100" s="15"/>
      <c r="Q100" s="17"/>
      <c r="R100" s="17"/>
      <c r="S100" s="17"/>
      <c r="T100" s="17"/>
      <c r="U100" s="18" t="str">
        <f aca="false">IF(A100="","",IF(N(G100)-N(L100)-N(N100)&lt;0,"Check shares",IF(AND(P100&lt;&gt;"",Q100&lt;&gt;""),"Closed","Open")))</f>
        <v/>
      </c>
      <c r="V100" s="19" t="str">
        <f aca="false">IF(OR(F100="",P100=""),"",NETWORKDAYS(F100,P100,Lists!$F$5:$F$40)-1)</f>
        <v/>
      </c>
      <c r="W100" s="18" t="str">
        <f aca="false">IF(V100="","",IF(V100=0,"Same day","Overnight"))</f>
        <v/>
      </c>
      <c r="X100" s="18" t="str">
        <f aca="false">IF(OR(E100="",F100=""),"",IF(AND(E100&gt;=F100,OR(P100="",E100&lt;=P100)),"Yes","No"))</f>
        <v/>
      </c>
      <c r="Y100" s="20" t="str">
        <f aca="false">IF(A100="","",N(G100)-N(L100)-N(N100))</f>
        <v/>
      </c>
      <c r="Z100" s="21" t="str">
        <f aca="false">IF(OR(G100="",H100="",I100=""),"",ABS(H100-I100)*G100)</f>
        <v/>
      </c>
      <c r="AA100" s="22" t="str">
        <f aca="false">IF(OR(J100="",N(Z100)=0),"",ABS(J100-H100)/ABS(H100-I100))</f>
        <v/>
      </c>
      <c r="AB100" s="23" t="str">
        <f aca="false">IF(U100&lt;&gt;"Closed","",(N(L100)*N(M100)+N(N100)*N(O100)+Y100*Q100)/G100)</f>
        <v/>
      </c>
      <c r="AC100" s="24" t="str">
        <f aca="false">IF(U100&lt;&gt;"Closed","",IF($B100="Short",-1,1)*((N(M100)-H100)*N(L100)+(N(O100)-H100)*N(N100)+(Q100-H100)*Y100)-N(R100))</f>
        <v/>
      </c>
      <c r="AD100" s="25" t="str">
        <f aca="false">IF(OR(AC100="",N(Z100)=0),"",AC100/Z100)</f>
        <v/>
      </c>
      <c r="AE100" s="25" t="str">
        <f aca="false">IF(OR(S100="",N(Z100)=0),"",IF($B100="Short",-1,1)*(S100-H100)*G100/Z100)</f>
        <v/>
      </c>
      <c r="AF100" s="25" t="str">
        <f aca="false">IF(OR(T100="",N(Z100)=0),"",IF($B100="Short",-1,1)*(T100-H100)*G100/Z100)</f>
        <v/>
      </c>
      <c r="AG100" s="21" t="str">
        <f aca="false">IF(U100&lt;&gt;"Open","",Y100*MAX(0,IF($B100="Short",-1,1)*(H100-IF(K100="",I100,K100))))</f>
        <v/>
      </c>
      <c r="AH100" s="26" t="str">
        <f aca="false">IF(U100&lt;&gt;"Closed","",DATE(YEAR(P100),MONTH(P100),1))</f>
        <v/>
      </c>
      <c r="AI100" s="19" t="str">
        <f aca="false">IF(U100&lt;&gt;"Closed","",COUNTIFS($U$7:$U$506,"Closed",$P$7:$P$506,"&lt;"&amp;P100)+COUNTIFS($U$7:U100,"Closed",$P$7:P100,P100))</f>
        <v/>
      </c>
    </row>
    <row r="101" customFormat="false" ht="15" hidden="false" customHeight="false" outlineLevel="0" collapsed="false">
      <c r="A101" s="13"/>
      <c r="B101" s="48"/>
      <c r="C101" s="48"/>
      <c r="D101" s="48"/>
      <c r="E101" s="15"/>
      <c r="F101" s="15"/>
      <c r="G101" s="16"/>
      <c r="H101" s="17"/>
      <c r="I101" s="17"/>
      <c r="J101" s="17"/>
      <c r="K101" s="17"/>
      <c r="L101" s="16"/>
      <c r="M101" s="17"/>
      <c r="N101" s="16"/>
      <c r="O101" s="17"/>
      <c r="P101" s="15"/>
      <c r="Q101" s="17"/>
      <c r="R101" s="17"/>
      <c r="S101" s="17"/>
      <c r="T101" s="17"/>
      <c r="U101" s="18" t="str">
        <f aca="false">IF(A101="","",IF(N(G101)-N(L101)-N(N101)&lt;0,"Check shares",IF(AND(P101&lt;&gt;"",Q101&lt;&gt;""),"Closed","Open")))</f>
        <v/>
      </c>
      <c r="V101" s="19" t="str">
        <f aca="false">IF(OR(F101="",P101=""),"",NETWORKDAYS(F101,P101,Lists!$F$5:$F$40)-1)</f>
        <v/>
      </c>
      <c r="W101" s="18" t="str">
        <f aca="false">IF(V101="","",IF(V101=0,"Same day","Overnight"))</f>
        <v/>
      </c>
      <c r="X101" s="18" t="str">
        <f aca="false">IF(OR(E101="",F101=""),"",IF(AND(E101&gt;=F101,OR(P101="",E101&lt;=P101)),"Yes","No"))</f>
        <v/>
      </c>
      <c r="Y101" s="20" t="str">
        <f aca="false">IF(A101="","",N(G101)-N(L101)-N(N101))</f>
        <v/>
      </c>
      <c r="Z101" s="21" t="str">
        <f aca="false">IF(OR(G101="",H101="",I101=""),"",ABS(H101-I101)*G101)</f>
        <v/>
      </c>
      <c r="AA101" s="22" t="str">
        <f aca="false">IF(OR(J101="",N(Z101)=0),"",ABS(J101-H101)/ABS(H101-I101))</f>
        <v/>
      </c>
      <c r="AB101" s="23" t="str">
        <f aca="false">IF(U101&lt;&gt;"Closed","",(N(L101)*N(M101)+N(N101)*N(O101)+Y101*Q101)/G101)</f>
        <v/>
      </c>
      <c r="AC101" s="24" t="str">
        <f aca="false">IF(U101&lt;&gt;"Closed","",IF($B101="Short",-1,1)*((N(M101)-H101)*N(L101)+(N(O101)-H101)*N(N101)+(Q101-H101)*Y101)-N(R101))</f>
        <v/>
      </c>
      <c r="AD101" s="25" t="str">
        <f aca="false">IF(OR(AC101="",N(Z101)=0),"",AC101/Z101)</f>
        <v/>
      </c>
      <c r="AE101" s="25" t="str">
        <f aca="false">IF(OR(S101="",N(Z101)=0),"",IF($B101="Short",-1,1)*(S101-H101)*G101/Z101)</f>
        <v/>
      </c>
      <c r="AF101" s="25" t="str">
        <f aca="false">IF(OR(T101="",N(Z101)=0),"",IF($B101="Short",-1,1)*(T101-H101)*G101/Z101)</f>
        <v/>
      </c>
      <c r="AG101" s="21" t="str">
        <f aca="false">IF(U101&lt;&gt;"Open","",Y101*MAX(0,IF($B101="Short",-1,1)*(H101-IF(K101="",I101,K101))))</f>
        <v/>
      </c>
      <c r="AH101" s="26" t="str">
        <f aca="false">IF(U101&lt;&gt;"Closed","",DATE(YEAR(P101),MONTH(P101),1))</f>
        <v/>
      </c>
      <c r="AI101" s="19" t="str">
        <f aca="false">IF(U101&lt;&gt;"Closed","",COUNTIFS($U$7:$U$506,"Closed",$P$7:$P$506,"&lt;"&amp;P101)+COUNTIFS($U$7:U101,"Closed",$P$7:P101,P101))</f>
        <v/>
      </c>
    </row>
    <row r="102" customFormat="false" ht="15" hidden="false" customHeight="false" outlineLevel="0" collapsed="false">
      <c r="A102" s="13"/>
      <c r="B102" s="48"/>
      <c r="C102" s="48"/>
      <c r="D102" s="48"/>
      <c r="E102" s="15"/>
      <c r="F102" s="15"/>
      <c r="G102" s="16"/>
      <c r="H102" s="17"/>
      <c r="I102" s="17"/>
      <c r="J102" s="17"/>
      <c r="K102" s="17"/>
      <c r="L102" s="16"/>
      <c r="M102" s="17"/>
      <c r="N102" s="16"/>
      <c r="O102" s="17"/>
      <c r="P102" s="15"/>
      <c r="Q102" s="17"/>
      <c r="R102" s="17"/>
      <c r="S102" s="17"/>
      <c r="T102" s="17"/>
      <c r="U102" s="18" t="str">
        <f aca="false">IF(A102="","",IF(N(G102)-N(L102)-N(N102)&lt;0,"Check shares",IF(AND(P102&lt;&gt;"",Q102&lt;&gt;""),"Closed","Open")))</f>
        <v/>
      </c>
      <c r="V102" s="19" t="str">
        <f aca="false">IF(OR(F102="",P102=""),"",NETWORKDAYS(F102,P102,Lists!$F$5:$F$40)-1)</f>
        <v/>
      </c>
      <c r="W102" s="18" t="str">
        <f aca="false">IF(V102="","",IF(V102=0,"Same day","Overnight"))</f>
        <v/>
      </c>
      <c r="X102" s="18" t="str">
        <f aca="false">IF(OR(E102="",F102=""),"",IF(AND(E102&gt;=F102,OR(P102="",E102&lt;=P102)),"Yes","No"))</f>
        <v/>
      </c>
      <c r="Y102" s="20" t="str">
        <f aca="false">IF(A102="","",N(G102)-N(L102)-N(N102))</f>
        <v/>
      </c>
      <c r="Z102" s="21" t="str">
        <f aca="false">IF(OR(G102="",H102="",I102=""),"",ABS(H102-I102)*G102)</f>
        <v/>
      </c>
      <c r="AA102" s="22" t="str">
        <f aca="false">IF(OR(J102="",N(Z102)=0),"",ABS(J102-H102)/ABS(H102-I102))</f>
        <v/>
      </c>
      <c r="AB102" s="23" t="str">
        <f aca="false">IF(U102&lt;&gt;"Closed","",(N(L102)*N(M102)+N(N102)*N(O102)+Y102*Q102)/G102)</f>
        <v/>
      </c>
      <c r="AC102" s="24" t="str">
        <f aca="false">IF(U102&lt;&gt;"Closed","",IF($B102="Short",-1,1)*((N(M102)-H102)*N(L102)+(N(O102)-H102)*N(N102)+(Q102-H102)*Y102)-N(R102))</f>
        <v/>
      </c>
      <c r="AD102" s="25" t="str">
        <f aca="false">IF(OR(AC102="",N(Z102)=0),"",AC102/Z102)</f>
        <v/>
      </c>
      <c r="AE102" s="25" t="str">
        <f aca="false">IF(OR(S102="",N(Z102)=0),"",IF($B102="Short",-1,1)*(S102-H102)*G102/Z102)</f>
        <v/>
      </c>
      <c r="AF102" s="25" t="str">
        <f aca="false">IF(OR(T102="",N(Z102)=0),"",IF($B102="Short",-1,1)*(T102-H102)*G102/Z102)</f>
        <v/>
      </c>
      <c r="AG102" s="21" t="str">
        <f aca="false">IF(U102&lt;&gt;"Open","",Y102*MAX(0,IF($B102="Short",-1,1)*(H102-IF(K102="",I102,K102))))</f>
        <v/>
      </c>
      <c r="AH102" s="26" t="str">
        <f aca="false">IF(U102&lt;&gt;"Closed","",DATE(YEAR(P102),MONTH(P102),1))</f>
        <v/>
      </c>
      <c r="AI102" s="19" t="str">
        <f aca="false">IF(U102&lt;&gt;"Closed","",COUNTIFS($U$7:$U$506,"Closed",$P$7:$P$506,"&lt;"&amp;P102)+COUNTIFS($U$7:U102,"Closed",$P$7:P102,P102))</f>
        <v/>
      </c>
    </row>
    <row r="103" customFormat="false" ht="15" hidden="false" customHeight="false" outlineLevel="0" collapsed="false">
      <c r="A103" s="13"/>
      <c r="B103" s="48"/>
      <c r="C103" s="48"/>
      <c r="D103" s="48"/>
      <c r="E103" s="15"/>
      <c r="F103" s="15"/>
      <c r="G103" s="16"/>
      <c r="H103" s="17"/>
      <c r="I103" s="17"/>
      <c r="J103" s="17"/>
      <c r="K103" s="17"/>
      <c r="L103" s="16"/>
      <c r="M103" s="17"/>
      <c r="N103" s="16"/>
      <c r="O103" s="17"/>
      <c r="P103" s="15"/>
      <c r="Q103" s="17"/>
      <c r="R103" s="17"/>
      <c r="S103" s="17"/>
      <c r="T103" s="17"/>
      <c r="U103" s="18" t="str">
        <f aca="false">IF(A103="","",IF(N(G103)-N(L103)-N(N103)&lt;0,"Check shares",IF(AND(P103&lt;&gt;"",Q103&lt;&gt;""),"Closed","Open")))</f>
        <v/>
      </c>
      <c r="V103" s="19" t="str">
        <f aca="false">IF(OR(F103="",P103=""),"",NETWORKDAYS(F103,P103,Lists!$F$5:$F$40)-1)</f>
        <v/>
      </c>
      <c r="W103" s="18" t="str">
        <f aca="false">IF(V103="","",IF(V103=0,"Same day","Overnight"))</f>
        <v/>
      </c>
      <c r="X103" s="18" t="str">
        <f aca="false">IF(OR(E103="",F103=""),"",IF(AND(E103&gt;=F103,OR(P103="",E103&lt;=P103)),"Yes","No"))</f>
        <v/>
      </c>
      <c r="Y103" s="20" t="str">
        <f aca="false">IF(A103="","",N(G103)-N(L103)-N(N103))</f>
        <v/>
      </c>
      <c r="Z103" s="21" t="str">
        <f aca="false">IF(OR(G103="",H103="",I103=""),"",ABS(H103-I103)*G103)</f>
        <v/>
      </c>
      <c r="AA103" s="22" t="str">
        <f aca="false">IF(OR(J103="",N(Z103)=0),"",ABS(J103-H103)/ABS(H103-I103))</f>
        <v/>
      </c>
      <c r="AB103" s="23" t="str">
        <f aca="false">IF(U103&lt;&gt;"Closed","",(N(L103)*N(M103)+N(N103)*N(O103)+Y103*Q103)/G103)</f>
        <v/>
      </c>
      <c r="AC103" s="24" t="str">
        <f aca="false">IF(U103&lt;&gt;"Closed","",IF($B103="Short",-1,1)*((N(M103)-H103)*N(L103)+(N(O103)-H103)*N(N103)+(Q103-H103)*Y103)-N(R103))</f>
        <v/>
      </c>
      <c r="AD103" s="25" t="str">
        <f aca="false">IF(OR(AC103="",N(Z103)=0),"",AC103/Z103)</f>
        <v/>
      </c>
      <c r="AE103" s="25" t="str">
        <f aca="false">IF(OR(S103="",N(Z103)=0),"",IF($B103="Short",-1,1)*(S103-H103)*G103/Z103)</f>
        <v/>
      </c>
      <c r="AF103" s="25" t="str">
        <f aca="false">IF(OR(T103="",N(Z103)=0),"",IF($B103="Short",-1,1)*(T103-H103)*G103/Z103)</f>
        <v/>
      </c>
      <c r="AG103" s="21" t="str">
        <f aca="false">IF(U103&lt;&gt;"Open","",Y103*MAX(0,IF($B103="Short",-1,1)*(H103-IF(K103="",I103,K103))))</f>
        <v/>
      </c>
      <c r="AH103" s="26" t="str">
        <f aca="false">IF(U103&lt;&gt;"Closed","",DATE(YEAR(P103),MONTH(P103),1))</f>
        <v/>
      </c>
      <c r="AI103" s="19" t="str">
        <f aca="false">IF(U103&lt;&gt;"Closed","",COUNTIFS($U$7:$U$506,"Closed",$P$7:$P$506,"&lt;"&amp;P103)+COUNTIFS($U$7:U103,"Closed",$P$7:P103,P103))</f>
        <v/>
      </c>
    </row>
    <row r="104" customFormat="false" ht="15" hidden="false" customHeight="false" outlineLevel="0" collapsed="false">
      <c r="A104" s="13"/>
      <c r="B104" s="48"/>
      <c r="C104" s="48"/>
      <c r="D104" s="48"/>
      <c r="E104" s="15"/>
      <c r="F104" s="15"/>
      <c r="G104" s="16"/>
      <c r="H104" s="17"/>
      <c r="I104" s="17"/>
      <c r="J104" s="17"/>
      <c r="K104" s="17"/>
      <c r="L104" s="16"/>
      <c r="M104" s="17"/>
      <c r="N104" s="16"/>
      <c r="O104" s="17"/>
      <c r="P104" s="15"/>
      <c r="Q104" s="17"/>
      <c r="R104" s="17"/>
      <c r="S104" s="17"/>
      <c r="T104" s="17"/>
      <c r="U104" s="18" t="str">
        <f aca="false">IF(A104="","",IF(N(G104)-N(L104)-N(N104)&lt;0,"Check shares",IF(AND(P104&lt;&gt;"",Q104&lt;&gt;""),"Closed","Open")))</f>
        <v/>
      </c>
      <c r="V104" s="19" t="str">
        <f aca="false">IF(OR(F104="",P104=""),"",NETWORKDAYS(F104,P104,Lists!$F$5:$F$40)-1)</f>
        <v/>
      </c>
      <c r="W104" s="18" t="str">
        <f aca="false">IF(V104="","",IF(V104=0,"Same day","Overnight"))</f>
        <v/>
      </c>
      <c r="X104" s="18" t="str">
        <f aca="false">IF(OR(E104="",F104=""),"",IF(AND(E104&gt;=F104,OR(P104="",E104&lt;=P104)),"Yes","No"))</f>
        <v/>
      </c>
      <c r="Y104" s="20" t="str">
        <f aca="false">IF(A104="","",N(G104)-N(L104)-N(N104))</f>
        <v/>
      </c>
      <c r="Z104" s="21" t="str">
        <f aca="false">IF(OR(G104="",H104="",I104=""),"",ABS(H104-I104)*G104)</f>
        <v/>
      </c>
      <c r="AA104" s="22" t="str">
        <f aca="false">IF(OR(J104="",N(Z104)=0),"",ABS(J104-H104)/ABS(H104-I104))</f>
        <v/>
      </c>
      <c r="AB104" s="23" t="str">
        <f aca="false">IF(U104&lt;&gt;"Closed","",(N(L104)*N(M104)+N(N104)*N(O104)+Y104*Q104)/G104)</f>
        <v/>
      </c>
      <c r="AC104" s="24" t="str">
        <f aca="false">IF(U104&lt;&gt;"Closed","",IF($B104="Short",-1,1)*((N(M104)-H104)*N(L104)+(N(O104)-H104)*N(N104)+(Q104-H104)*Y104)-N(R104))</f>
        <v/>
      </c>
      <c r="AD104" s="25" t="str">
        <f aca="false">IF(OR(AC104="",N(Z104)=0),"",AC104/Z104)</f>
        <v/>
      </c>
      <c r="AE104" s="25" t="str">
        <f aca="false">IF(OR(S104="",N(Z104)=0),"",IF($B104="Short",-1,1)*(S104-H104)*G104/Z104)</f>
        <v/>
      </c>
      <c r="AF104" s="25" t="str">
        <f aca="false">IF(OR(T104="",N(Z104)=0),"",IF($B104="Short",-1,1)*(T104-H104)*G104/Z104)</f>
        <v/>
      </c>
      <c r="AG104" s="21" t="str">
        <f aca="false">IF(U104&lt;&gt;"Open","",Y104*MAX(0,IF($B104="Short",-1,1)*(H104-IF(K104="",I104,K104))))</f>
        <v/>
      </c>
      <c r="AH104" s="26" t="str">
        <f aca="false">IF(U104&lt;&gt;"Closed","",DATE(YEAR(P104),MONTH(P104),1))</f>
        <v/>
      </c>
      <c r="AI104" s="19" t="str">
        <f aca="false">IF(U104&lt;&gt;"Closed","",COUNTIFS($U$7:$U$506,"Closed",$P$7:$P$506,"&lt;"&amp;P104)+COUNTIFS($U$7:U104,"Closed",$P$7:P104,P104))</f>
        <v/>
      </c>
    </row>
    <row r="105" customFormat="false" ht="15" hidden="false" customHeight="false" outlineLevel="0" collapsed="false">
      <c r="A105" s="13"/>
      <c r="B105" s="48"/>
      <c r="C105" s="48"/>
      <c r="D105" s="48"/>
      <c r="E105" s="15"/>
      <c r="F105" s="15"/>
      <c r="G105" s="16"/>
      <c r="H105" s="17"/>
      <c r="I105" s="17"/>
      <c r="J105" s="17"/>
      <c r="K105" s="17"/>
      <c r="L105" s="16"/>
      <c r="M105" s="17"/>
      <c r="N105" s="16"/>
      <c r="O105" s="17"/>
      <c r="P105" s="15"/>
      <c r="Q105" s="17"/>
      <c r="R105" s="17"/>
      <c r="S105" s="17"/>
      <c r="T105" s="17"/>
      <c r="U105" s="18" t="str">
        <f aca="false">IF(A105="","",IF(N(G105)-N(L105)-N(N105)&lt;0,"Check shares",IF(AND(P105&lt;&gt;"",Q105&lt;&gt;""),"Closed","Open")))</f>
        <v/>
      </c>
      <c r="V105" s="19" t="str">
        <f aca="false">IF(OR(F105="",P105=""),"",NETWORKDAYS(F105,P105,Lists!$F$5:$F$40)-1)</f>
        <v/>
      </c>
      <c r="W105" s="18" t="str">
        <f aca="false">IF(V105="","",IF(V105=0,"Same day","Overnight"))</f>
        <v/>
      </c>
      <c r="X105" s="18" t="str">
        <f aca="false">IF(OR(E105="",F105=""),"",IF(AND(E105&gt;=F105,OR(P105="",E105&lt;=P105)),"Yes","No"))</f>
        <v/>
      </c>
      <c r="Y105" s="20" t="str">
        <f aca="false">IF(A105="","",N(G105)-N(L105)-N(N105))</f>
        <v/>
      </c>
      <c r="Z105" s="21" t="str">
        <f aca="false">IF(OR(G105="",H105="",I105=""),"",ABS(H105-I105)*G105)</f>
        <v/>
      </c>
      <c r="AA105" s="22" t="str">
        <f aca="false">IF(OR(J105="",N(Z105)=0),"",ABS(J105-H105)/ABS(H105-I105))</f>
        <v/>
      </c>
      <c r="AB105" s="23" t="str">
        <f aca="false">IF(U105&lt;&gt;"Closed","",(N(L105)*N(M105)+N(N105)*N(O105)+Y105*Q105)/G105)</f>
        <v/>
      </c>
      <c r="AC105" s="24" t="str">
        <f aca="false">IF(U105&lt;&gt;"Closed","",IF($B105="Short",-1,1)*((N(M105)-H105)*N(L105)+(N(O105)-H105)*N(N105)+(Q105-H105)*Y105)-N(R105))</f>
        <v/>
      </c>
      <c r="AD105" s="25" t="str">
        <f aca="false">IF(OR(AC105="",N(Z105)=0),"",AC105/Z105)</f>
        <v/>
      </c>
      <c r="AE105" s="25" t="str">
        <f aca="false">IF(OR(S105="",N(Z105)=0),"",IF($B105="Short",-1,1)*(S105-H105)*G105/Z105)</f>
        <v/>
      </c>
      <c r="AF105" s="25" t="str">
        <f aca="false">IF(OR(T105="",N(Z105)=0),"",IF($B105="Short",-1,1)*(T105-H105)*G105/Z105)</f>
        <v/>
      </c>
      <c r="AG105" s="21" t="str">
        <f aca="false">IF(U105&lt;&gt;"Open","",Y105*MAX(0,IF($B105="Short",-1,1)*(H105-IF(K105="",I105,K105))))</f>
        <v/>
      </c>
      <c r="AH105" s="26" t="str">
        <f aca="false">IF(U105&lt;&gt;"Closed","",DATE(YEAR(P105),MONTH(P105),1))</f>
        <v/>
      </c>
      <c r="AI105" s="19" t="str">
        <f aca="false">IF(U105&lt;&gt;"Closed","",COUNTIFS($U$7:$U$506,"Closed",$P$7:$P$506,"&lt;"&amp;P105)+COUNTIFS($U$7:U105,"Closed",$P$7:P105,P105))</f>
        <v/>
      </c>
    </row>
    <row r="106" customFormat="false" ht="15" hidden="false" customHeight="false" outlineLevel="0" collapsed="false">
      <c r="A106" s="13"/>
      <c r="B106" s="48"/>
      <c r="C106" s="48"/>
      <c r="D106" s="48"/>
      <c r="E106" s="15"/>
      <c r="F106" s="15"/>
      <c r="G106" s="16"/>
      <c r="H106" s="17"/>
      <c r="I106" s="17"/>
      <c r="J106" s="17"/>
      <c r="K106" s="17"/>
      <c r="L106" s="16"/>
      <c r="M106" s="17"/>
      <c r="N106" s="16"/>
      <c r="O106" s="17"/>
      <c r="P106" s="15"/>
      <c r="Q106" s="17"/>
      <c r="R106" s="17"/>
      <c r="S106" s="17"/>
      <c r="T106" s="17"/>
      <c r="U106" s="18" t="str">
        <f aca="false">IF(A106="","",IF(N(G106)-N(L106)-N(N106)&lt;0,"Check shares",IF(AND(P106&lt;&gt;"",Q106&lt;&gt;""),"Closed","Open")))</f>
        <v/>
      </c>
      <c r="V106" s="19" t="str">
        <f aca="false">IF(OR(F106="",P106=""),"",NETWORKDAYS(F106,P106,Lists!$F$5:$F$40)-1)</f>
        <v/>
      </c>
      <c r="W106" s="18" t="str">
        <f aca="false">IF(V106="","",IF(V106=0,"Same day","Overnight"))</f>
        <v/>
      </c>
      <c r="X106" s="18" t="str">
        <f aca="false">IF(OR(E106="",F106=""),"",IF(AND(E106&gt;=F106,OR(P106="",E106&lt;=P106)),"Yes","No"))</f>
        <v/>
      </c>
      <c r="Y106" s="20" t="str">
        <f aca="false">IF(A106="","",N(G106)-N(L106)-N(N106))</f>
        <v/>
      </c>
      <c r="Z106" s="21" t="str">
        <f aca="false">IF(OR(G106="",H106="",I106=""),"",ABS(H106-I106)*G106)</f>
        <v/>
      </c>
      <c r="AA106" s="22" t="str">
        <f aca="false">IF(OR(J106="",N(Z106)=0),"",ABS(J106-H106)/ABS(H106-I106))</f>
        <v/>
      </c>
      <c r="AB106" s="23" t="str">
        <f aca="false">IF(U106&lt;&gt;"Closed","",(N(L106)*N(M106)+N(N106)*N(O106)+Y106*Q106)/G106)</f>
        <v/>
      </c>
      <c r="AC106" s="24" t="str">
        <f aca="false">IF(U106&lt;&gt;"Closed","",IF($B106="Short",-1,1)*((N(M106)-H106)*N(L106)+(N(O106)-H106)*N(N106)+(Q106-H106)*Y106)-N(R106))</f>
        <v/>
      </c>
      <c r="AD106" s="25" t="str">
        <f aca="false">IF(OR(AC106="",N(Z106)=0),"",AC106/Z106)</f>
        <v/>
      </c>
      <c r="AE106" s="25" t="str">
        <f aca="false">IF(OR(S106="",N(Z106)=0),"",IF($B106="Short",-1,1)*(S106-H106)*G106/Z106)</f>
        <v/>
      </c>
      <c r="AF106" s="25" t="str">
        <f aca="false">IF(OR(T106="",N(Z106)=0),"",IF($B106="Short",-1,1)*(T106-H106)*G106/Z106)</f>
        <v/>
      </c>
      <c r="AG106" s="21" t="str">
        <f aca="false">IF(U106&lt;&gt;"Open","",Y106*MAX(0,IF($B106="Short",-1,1)*(H106-IF(K106="",I106,K106))))</f>
        <v/>
      </c>
      <c r="AH106" s="26" t="str">
        <f aca="false">IF(U106&lt;&gt;"Closed","",DATE(YEAR(P106),MONTH(P106),1))</f>
        <v/>
      </c>
      <c r="AI106" s="19" t="str">
        <f aca="false">IF(U106&lt;&gt;"Closed","",COUNTIFS($U$7:$U$506,"Closed",$P$7:$P$506,"&lt;"&amp;P106)+COUNTIFS($U$7:U106,"Closed",$P$7:P106,P106))</f>
        <v/>
      </c>
    </row>
    <row r="107" customFormat="false" ht="15" hidden="false" customHeight="false" outlineLevel="0" collapsed="false">
      <c r="A107" s="13"/>
      <c r="B107" s="48"/>
      <c r="C107" s="48"/>
      <c r="D107" s="48"/>
      <c r="E107" s="15"/>
      <c r="F107" s="15"/>
      <c r="G107" s="16"/>
      <c r="H107" s="17"/>
      <c r="I107" s="17"/>
      <c r="J107" s="17"/>
      <c r="K107" s="17"/>
      <c r="L107" s="16"/>
      <c r="M107" s="17"/>
      <c r="N107" s="16"/>
      <c r="O107" s="17"/>
      <c r="P107" s="15"/>
      <c r="Q107" s="17"/>
      <c r="R107" s="17"/>
      <c r="S107" s="17"/>
      <c r="T107" s="17"/>
      <c r="U107" s="18" t="str">
        <f aca="false">IF(A107="","",IF(N(G107)-N(L107)-N(N107)&lt;0,"Check shares",IF(AND(P107&lt;&gt;"",Q107&lt;&gt;""),"Closed","Open")))</f>
        <v/>
      </c>
      <c r="V107" s="19" t="str">
        <f aca="false">IF(OR(F107="",P107=""),"",NETWORKDAYS(F107,P107,Lists!$F$5:$F$40)-1)</f>
        <v/>
      </c>
      <c r="W107" s="18" t="str">
        <f aca="false">IF(V107="","",IF(V107=0,"Same day","Overnight"))</f>
        <v/>
      </c>
      <c r="X107" s="18" t="str">
        <f aca="false">IF(OR(E107="",F107=""),"",IF(AND(E107&gt;=F107,OR(P107="",E107&lt;=P107)),"Yes","No"))</f>
        <v/>
      </c>
      <c r="Y107" s="20" t="str">
        <f aca="false">IF(A107="","",N(G107)-N(L107)-N(N107))</f>
        <v/>
      </c>
      <c r="Z107" s="21" t="str">
        <f aca="false">IF(OR(G107="",H107="",I107=""),"",ABS(H107-I107)*G107)</f>
        <v/>
      </c>
      <c r="AA107" s="22" t="str">
        <f aca="false">IF(OR(J107="",N(Z107)=0),"",ABS(J107-H107)/ABS(H107-I107))</f>
        <v/>
      </c>
      <c r="AB107" s="23" t="str">
        <f aca="false">IF(U107&lt;&gt;"Closed","",(N(L107)*N(M107)+N(N107)*N(O107)+Y107*Q107)/G107)</f>
        <v/>
      </c>
      <c r="AC107" s="24" t="str">
        <f aca="false">IF(U107&lt;&gt;"Closed","",IF($B107="Short",-1,1)*((N(M107)-H107)*N(L107)+(N(O107)-H107)*N(N107)+(Q107-H107)*Y107)-N(R107))</f>
        <v/>
      </c>
      <c r="AD107" s="25" t="str">
        <f aca="false">IF(OR(AC107="",N(Z107)=0),"",AC107/Z107)</f>
        <v/>
      </c>
      <c r="AE107" s="25" t="str">
        <f aca="false">IF(OR(S107="",N(Z107)=0),"",IF($B107="Short",-1,1)*(S107-H107)*G107/Z107)</f>
        <v/>
      </c>
      <c r="AF107" s="25" t="str">
        <f aca="false">IF(OR(T107="",N(Z107)=0),"",IF($B107="Short",-1,1)*(T107-H107)*G107/Z107)</f>
        <v/>
      </c>
      <c r="AG107" s="21" t="str">
        <f aca="false">IF(U107&lt;&gt;"Open","",Y107*MAX(0,IF($B107="Short",-1,1)*(H107-IF(K107="",I107,K107))))</f>
        <v/>
      </c>
      <c r="AH107" s="26" t="str">
        <f aca="false">IF(U107&lt;&gt;"Closed","",DATE(YEAR(P107),MONTH(P107),1))</f>
        <v/>
      </c>
      <c r="AI107" s="19" t="str">
        <f aca="false">IF(U107&lt;&gt;"Closed","",COUNTIFS($U$7:$U$506,"Closed",$P$7:$P$506,"&lt;"&amp;P107)+COUNTIFS($U$7:U107,"Closed",$P$7:P107,P107))</f>
        <v/>
      </c>
    </row>
    <row r="108" customFormat="false" ht="15" hidden="false" customHeight="false" outlineLevel="0" collapsed="false">
      <c r="A108" s="13"/>
      <c r="B108" s="48"/>
      <c r="C108" s="48"/>
      <c r="D108" s="48"/>
      <c r="E108" s="15"/>
      <c r="F108" s="15"/>
      <c r="G108" s="16"/>
      <c r="H108" s="17"/>
      <c r="I108" s="17"/>
      <c r="J108" s="17"/>
      <c r="K108" s="17"/>
      <c r="L108" s="16"/>
      <c r="M108" s="17"/>
      <c r="N108" s="16"/>
      <c r="O108" s="17"/>
      <c r="P108" s="15"/>
      <c r="Q108" s="17"/>
      <c r="R108" s="17"/>
      <c r="S108" s="17"/>
      <c r="T108" s="17"/>
      <c r="U108" s="18" t="str">
        <f aca="false">IF(A108="","",IF(N(G108)-N(L108)-N(N108)&lt;0,"Check shares",IF(AND(P108&lt;&gt;"",Q108&lt;&gt;""),"Closed","Open")))</f>
        <v/>
      </c>
      <c r="V108" s="19" t="str">
        <f aca="false">IF(OR(F108="",P108=""),"",NETWORKDAYS(F108,P108,Lists!$F$5:$F$40)-1)</f>
        <v/>
      </c>
      <c r="W108" s="18" t="str">
        <f aca="false">IF(V108="","",IF(V108=0,"Same day","Overnight"))</f>
        <v/>
      </c>
      <c r="X108" s="18" t="str">
        <f aca="false">IF(OR(E108="",F108=""),"",IF(AND(E108&gt;=F108,OR(P108="",E108&lt;=P108)),"Yes","No"))</f>
        <v/>
      </c>
      <c r="Y108" s="20" t="str">
        <f aca="false">IF(A108="","",N(G108)-N(L108)-N(N108))</f>
        <v/>
      </c>
      <c r="Z108" s="21" t="str">
        <f aca="false">IF(OR(G108="",H108="",I108=""),"",ABS(H108-I108)*G108)</f>
        <v/>
      </c>
      <c r="AA108" s="22" t="str">
        <f aca="false">IF(OR(J108="",N(Z108)=0),"",ABS(J108-H108)/ABS(H108-I108))</f>
        <v/>
      </c>
      <c r="AB108" s="23" t="str">
        <f aca="false">IF(U108&lt;&gt;"Closed","",(N(L108)*N(M108)+N(N108)*N(O108)+Y108*Q108)/G108)</f>
        <v/>
      </c>
      <c r="AC108" s="24" t="str">
        <f aca="false">IF(U108&lt;&gt;"Closed","",IF($B108="Short",-1,1)*((N(M108)-H108)*N(L108)+(N(O108)-H108)*N(N108)+(Q108-H108)*Y108)-N(R108))</f>
        <v/>
      </c>
      <c r="AD108" s="25" t="str">
        <f aca="false">IF(OR(AC108="",N(Z108)=0),"",AC108/Z108)</f>
        <v/>
      </c>
      <c r="AE108" s="25" t="str">
        <f aca="false">IF(OR(S108="",N(Z108)=0),"",IF($B108="Short",-1,1)*(S108-H108)*G108/Z108)</f>
        <v/>
      </c>
      <c r="AF108" s="25" t="str">
        <f aca="false">IF(OR(T108="",N(Z108)=0),"",IF($B108="Short",-1,1)*(T108-H108)*G108/Z108)</f>
        <v/>
      </c>
      <c r="AG108" s="21" t="str">
        <f aca="false">IF(U108&lt;&gt;"Open","",Y108*MAX(0,IF($B108="Short",-1,1)*(H108-IF(K108="",I108,K108))))</f>
        <v/>
      </c>
      <c r="AH108" s="26" t="str">
        <f aca="false">IF(U108&lt;&gt;"Closed","",DATE(YEAR(P108),MONTH(P108),1))</f>
        <v/>
      </c>
      <c r="AI108" s="19" t="str">
        <f aca="false">IF(U108&lt;&gt;"Closed","",COUNTIFS($U$7:$U$506,"Closed",$P$7:$P$506,"&lt;"&amp;P108)+COUNTIFS($U$7:U108,"Closed",$P$7:P108,P108))</f>
        <v/>
      </c>
    </row>
    <row r="109" customFormat="false" ht="15" hidden="false" customHeight="false" outlineLevel="0" collapsed="false">
      <c r="A109" s="13"/>
      <c r="B109" s="48"/>
      <c r="C109" s="48"/>
      <c r="D109" s="48"/>
      <c r="E109" s="15"/>
      <c r="F109" s="15"/>
      <c r="G109" s="16"/>
      <c r="H109" s="17"/>
      <c r="I109" s="17"/>
      <c r="J109" s="17"/>
      <c r="K109" s="17"/>
      <c r="L109" s="16"/>
      <c r="M109" s="17"/>
      <c r="N109" s="16"/>
      <c r="O109" s="17"/>
      <c r="P109" s="15"/>
      <c r="Q109" s="17"/>
      <c r="R109" s="17"/>
      <c r="S109" s="17"/>
      <c r="T109" s="17"/>
      <c r="U109" s="18" t="str">
        <f aca="false">IF(A109="","",IF(N(G109)-N(L109)-N(N109)&lt;0,"Check shares",IF(AND(P109&lt;&gt;"",Q109&lt;&gt;""),"Closed","Open")))</f>
        <v/>
      </c>
      <c r="V109" s="19" t="str">
        <f aca="false">IF(OR(F109="",P109=""),"",NETWORKDAYS(F109,P109,Lists!$F$5:$F$40)-1)</f>
        <v/>
      </c>
      <c r="W109" s="18" t="str">
        <f aca="false">IF(V109="","",IF(V109=0,"Same day","Overnight"))</f>
        <v/>
      </c>
      <c r="X109" s="18" t="str">
        <f aca="false">IF(OR(E109="",F109=""),"",IF(AND(E109&gt;=F109,OR(P109="",E109&lt;=P109)),"Yes","No"))</f>
        <v/>
      </c>
      <c r="Y109" s="20" t="str">
        <f aca="false">IF(A109="","",N(G109)-N(L109)-N(N109))</f>
        <v/>
      </c>
      <c r="Z109" s="21" t="str">
        <f aca="false">IF(OR(G109="",H109="",I109=""),"",ABS(H109-I109)*G109)</f>
        <v/>
      </c>
      <c r="AA109" s="22" t="str">
        <f aca="false">IF(OR(J109="",N(Z109)=0),"",ABS(J109-H109)/ABS(H109-I109))</f>
        <v/>
      </c>
      <c r="AB109" s="23" t="str">
        <f aca="false">IF(U109&lt;&gt;"Closed","",(N(L109)*N(M109)+N(N109)*N(O109)+Y109*Q109)/G109)</f>
        <v/>
      </c>
      <c r="AC109" s="24" t="str">
        <f aca="false">IF(U109&lt;&gt;"Closed","",IF($B109="Short",-1,1)*((N(M109)-H109)*N(L109)+(N(O109)-H109)*N(N109)+(Q109-H109)*Y109)-N(R109))</f>
        <v/>
      </c>
      <c r="AD109" s="25" t="str">
        <f aca="false">IF(OR(AC109="",N(Z109)=0),"",AC109/Z109)</f>
        <v/>
      </c>
      <c r="AE109" s="25" t="str">
        <f aca="false">IF(OR(S109="",N(Z109)=0),"",IF($B109="Short",-1,1)*(S109-H109)*G109/Z109)</f>
        <v/>
      </c>
      <c r="AF109" s="25" t="str">
        <f aca="false">IF(OR(T109="",N(Z109)=0),"",IF($B109="Short",-1,1)*(T109-H109)*G109/Z109)</f>
        <v/>
      </c>
      <c r="AG109" s="21" t="str">
        <f aca="false">IF(U109&lt;&gt;"Open","",Y109*MAX(0,IF($B109="Short",-1,1)*(H109-IF(K109="",I109,K109))))</f>
        <v/>
      </c>
      <c r="AH109" s="26" t="str">
        <f aca="false">IF(U109&lt;&gt;"Closed","",DATE(YEAR(P109),MONTH(P109),1))</f>
        <v/>
      </c>
      <c r="AI109" s="19" t="str">
        <f aca="false">IF(U109&lt;&gt;"Closed","",COUNTIFS($U$7:$U$506,"Closed",$P$7:$P$506,"&lt;"&amp;P109)+COUNTIFS($U$7:U109,"Closed",$P$7:P109,P109))</f>
        <v/>
      </c>
    </row>
    <row r="110" customFormat="false" ht="15" hidden="false" customHeight="false" outlineLevel="0" collapsed="false">
      <c r="A110" s="13"/>
      <c r="B110" s="48"/>
      <c r="C110" s="48"/>
      <c r="D110" s="48"/>
      <c r="E110" s="15"/>
      <c r="F110" s="15"/>
      <c r="G110" s="16"/>
      <c r="H110" s="17"/>
      <c r="I110" s="17"/>
      <c r="J110" s="17"/>
      <c r="K110" s="17"/>
      <c r="L110" s="16"/>
      <c r="M110" s="17"/>
      <c r="N110" s="16"/>
      <c r="O110" s="17"/>
      <c r="P110" s="15"/>
      <c r="Q110" s="17"/>
      <c r="R110" s="17"/>
      <c r="S110" s="17"/>
      <c r="T110" s="17"/>
      <c r="U110" s="18" t="str">
        <f aca="false">IF(A110="","",IF(N(G110)-N(L110)-N(N110)&lt;0,"Check shares",IF(AND(P110&lt;&gt;"",Q110&lt;&gt;""),"Closed","Open")))</f>
        <v/>
      </c>
      <c r="V110" s="19" t="str">
        <f aca="false">IF(OR(F110="",P110=""),"",NETWORKDAYS(F110,P110,Lists!$F$5:$F$40)-1)</f>
        <v/>
      </c>
      <c r="W110" s="18" t="str">
        <f aca="false">IF(V110="","",IF(V110=0,"Same day","Overnight"))</f>
        <v/>
      </c>
      <c r="X110" s="18" t="str">
        <f aca="false">IF(OR(E110="",F110=""),"",IF(AND(E110&gt;=F110,OR(P110="",E110&lt;=P110)),"Yes","No"))</f>
        <v/>
      </c>
      <c r="Y110" s="20" t="str">
        <f aca="false">IF(A110="","",N(G110)-N(L110)-N(N110))</f>
        <v/>
      </c>
      <c r="Z110" s="21" t="str">
        <f aca="false">IF(OR(G110="",H110="",I110=""),"",ABS(H110-I110)*G110)</f>
        <v/>
      </c>
      <c r="AA110" s="22" t="str">
        <f aca="false">IF(OR(J110="",N(Z110)=0),"",ABS(J110-H110)/ABS(H110-I110))</f>
        <v/>
      </c>
      <c r="AB110" s="23" t="str">
        <f aca="false">IF(U110&lt;&gt;"Closed","",(N(L110)*N(M110)+N(N110)*N(O110)+Y110*Q110)/G110)</f>
        <v/>
      </c>
      <c r="AC110" s="24" t="str">
        <f aca="false">IF(U110&lt;&gt;"Closed","",IF($B110="Short",-1,1)*((N(M110)-H110)*N(L110)+(N(O110)-H110)*N(N110)+(Q110-H110)*Y110)-N(R110))</f>
        <v/>
      </c>
      <c r="AD110" s="25" t="str">
        <f aca="false">IF(OR(AC110="",N(Z110)=0),"",AC110/Z110)</f>
        <v/>
      </c>
      <c r="AE110" s="25" t="str">
        <f aca="false">IF(OR(S110="",N(Z110)=0),"",IF($B110="Short",-1,1)*(S110-H110)*G110/Z110)</f>
        <v/>
      </c>
      <c r="AF110" s="25" t="str">
        <f aca="false">IF(OR(T110="",N(Z110)=0),"",IF($B110="Short",-1,1)*(T110-H110)*G110/Z110)</f>
        <v/>
      </c>
      <c r="AG110" s="21" t="str">
        <f aca="false">IF(U110&lt;&gt;"Open","",Y110*MAX(0,IF($B110="Short",-1,1)*(H110-IF(K110="",I110,K110))))</f>
        <v/>
      </c>
      <c r="AH110" s="26" t="str">
        <f aca="false">IF(U110&lt;&gt;"Closed","",DATE(YEAR(P110),MONTH(P110),1))</f>
        <v/>
      </c>
      <c r="AI110" s="19" t="str">
        <f aca="false">IF(U110&lt;&gt;"Closed","",COUNTIFS($U$7:$U$506,"Closed",$P$7:$P$506,"&lt;"&amp;P110)+COUNTIFS($U$7:U110,"Closed",$P$7:P110,P110))</f>
        <v/>
      </c>
    </row>
    <row r="111" customFormat="false" ht="15" hidden="false" customHeight="false" outlineLevel="0" collapsed="false">
      <c r="A111" s="13"/>
      <c r="B111" s="48"/>
      <c r="C111" s="48"/>
      <c r="D111" s="48"/>
      <c r="E111" s="15"/>
      <c r="F111" s="15"/>
      <c r="G111" s="16"/>
      <c r="H111" s="17"/>
      <c r="I111" s="17"/>
      <c r="J111" s="17"/>
      <c r="K111" s="17"/>
      <c r="L111" s="16"/>
      <c r="M111" s="17"/>
      <c r="N111" s="16"/>
      <c r="O111" s="17"/>
      <c r="P111" s="15"/>
      <c r="Q111" s="17"/>
      <c r="R111" s="17"/>
      <c r="S111" s="17"/>
      <c r="T111" s="17"/>
      <c r="U111" s="18" t="str">
        <f aca="false">IF(A111="","",IF(N(G111)-N(L111)-N(N111)&lt;0,"Check shares",IF(AND(P111&lt;&gt;"",Q111&lt;&gt;""),"Closed","Open")))</f>
        <v/>
      </c>
      <c r="V111" s="19" t="str">
        <f aca="false">IF(OR(F111="",P111=""),"",NETWORKDAYS(F111,P111,Lists!$F$5:$F$40)-1)</f>
        <v/>
      </c>
      <c r="W111" s="18" t="str">
        <f aca="false">IF(V111="","",IF(V111=0,"Same day","Overnight"))</f>
        <v/>
      </c>
      <c r="X111" s="18" t="str">
        <f aca="false">IF(OR(E111="",F111=""),"",IF(AND(E111&gt;=F111,OR(P111="",E111&lt;=P111)),"Yes","No"))</f>
        <v/>
      </c>
      <c r="Y111" s="20" t="str">
        <f aca="false">IF(A111="","",N(G111)-N(L111)-N(N111))</f>
        <v/>
      </c>
      <c r="Z111" s="21" t="str">
        <f aca="false">IF(OR(G111="",H111="",I111=""),"",ABS(H111-I111)*G111)</f>
        <v/>
      </c>
      <c r="AA111" s="22" t="str">
        <f aca="false">IF(OR(J111="",N(Z111)=0),"",ABS(J111-H111)/ABS(H111-I111))</f>
        <v/>
      </c>
      <c r="AB111" s="23" t="str">
        <f aca="false">IF(U111&lt;&gt;"Closed","",(N(L111)*N(M111)+N(N111)*N(O111)+Y111*Q111)/G111)</f>
        <v/>
      </c>
      <c r="AC111" s="24" t="str">
        <f aca="false">IF(U111&lt;&gt;"Closed","",IF($B111="Short",-1,1)*((N(M111)-H111)*N(L111)+(N(O111)-H111)*N(N111)+(Q111-H111)*Y111)-N(R111))</f>
        <v/>
      </c>
      <c r="AD111" s="25" t="str">
        <f aca="false">IF(OR(AC111="",N(Z111)=0),"",AC111/Z111)</f>
        <v/>
      </c>
      <c r="AE111" s="25" t="str">
        <f aca="false">IF(OR(S111="",N(Z111)=0),"",IF($B111="Short",-1,1)*(S111-H111)*G111/Z111)</f>
        <v/>
      </c>
      <c r="AF111" s="25" t="str">
        <f aca="false">IF(OR(T111="",N(Z111)=0),"",IF($B111="Short",-1,1)*(T111-H111)*G111/Z111)</f>
        <v/>
      </c>
      <c r="AG111" s="21" t="str">
        <f aca="false">IF(U111&lt;&gt;"Open","",Y111*MAX(0,IF($B111="Short",-1,1)*(H111-IF(K111="",I111,K111))))</f>
        <v/>
      </c>
      <c r="AH111" s="26" t="str">
        <f aca="false">IF(U111&lt;&gt;"Closed","",DATE(YEAR(P111),MONTH(P111),1))</f>
        <v/>
      </c>
      <c r="AI111" s="19" t="str">
        <f aca="false">IF(U111&lt;&gt;"Closed","",COUNTIFS($U$7:$U$506,"Closed",$P$7:$P$506,"&lt;"&amp;P111)+COUNTIFS($U$7:U111,"Closed",$P$7:P111,P111))</f>
        <v/>
      </c>
    </row>
    <row r="112" customFormat="false" ht="15" hidden="false" customHeight="false" outlineLevel="0" collapsed="false">
      <c r="A112" s="13"/>
      <c r="B112" s="48"/>
      <c r="C112" s="48"/>
      <c r="D112" s="48"/>
      <c r="E112" s="15"/>
      <c r="F112" s="15"/>
      <c r="G112" s="16"/>
      <c r="H112" s="17"/>
      <c r="I112" s="17"/>
      <c r="J112" s="17"/>
      <c r="K112" s="17"/>
      <c r="L112" s="16"/>
      <c r="M112" s="17"/>
      <c r="N112" s="16"/>
      <c r="O112" s="17"/>
      <c r="P112" s="15"/>
      <c r="Q112" s="17"/>
      <c r="R112" s="17"/>
      <c r="S112" s="17"/>
      <c r="T112" s="17"/>
      <c r="U112" s="18" t="str">
        <f aca="false">IF(A112="","",IF(N(G112)-N(L112)-N(N112)&lt;0,"Check shares",IF(AND(P112&lt;&gt;"",Q112&lt;&gt;""),"Closed","Open")))</f>
        <v/>
      </c>
      <c r="V112" s="19" t="str">
        <f aca="false">IF(OR(F112="",P112=""),"",NETWORKDAYS(F112,P112,Lists!$F$5:$F$40)-1)</f>
        <v/>
      </c>
      <c r="W112" s="18" t="str">
        <f aca="false">IF(V112="","",IF(V112=0,"Same day","Overnight"))</f>
        <v/>
      </c>
      <c r="X112" s="18" t="str">
        <f aca="false">IF(OR(E112="",F112=""),"",IF(AND(E112&gt;=F112,OR(P112="",E112&lt;=P112)),"Yes","No"))</f>
        <v/>
      </c>
      <c r="Y112" s="20" t="str">
        <f aca="false">IF(A112="","",N(G112)-N(L112)-N(N112))</f>
        <v/>
      </c>
      <c r="Z112" s="21" t="str">
        <f aca="false">IF(OR(G112="",H112="",I112=""),"",ABS(H112-I112)*G112)</f>
        <v/>
      </c>
      <c r="AA112" s="22" t="str">
        <f aca="false">IF(OR(J112="",N(Z112)=0),"",ABS(J112-H112)/ABS(H112-I112))</f>
        <v/>
      </c>
      <c r="AB112" s="23" t="str">
        <f aca="false">IF(U112&lt;&gt;"Closed","",(N(L112)*N(M112)+N(N112)*N(O112)+Y112*Q112)/G112)</f>
        <v/>
      </c>
      <c r="AC112" s="24" t="str">
        <f aca="false">IF(U112&lt;&gt;"Closed","",IF($B112="Short",-1,1)*((N(M112)-H112)*N(L112)+(N(O112)-H112)*N(N112)+(Q112-H112)*Y112)-N(R112))</f>
        <v/>
      </c>
      <c r="AD112" s="25" t="str">
        <f aca="false">IF(OR(AC112="",N(Z112)=0),"",AC112/Z112)</f>
        <v/>
      </c>
      <c r="AE112" s="25" t="str">
        <f aca="false">IF(OR(S112="",N(Z112)=0),"",IF($B112="Short",-1,1)*(S112-H112)*G112/Z112)</f>
        <v/>
      </c>
      <c r="AF112" s="25" t="str">
        <f aca="false">IF(OR(T112="",N(Z112)=0),"",IF($B112="Short",-1,1)*(T112-H112)*G112/Z112)</f>
        <v/>
      </c>
      <c r="AG112" s="21" t="str">
        <f aca="false">IF(U112&lt;&gt;"Open","",Y112*MAX(0,IF($B112="Short",-1,1)*(H112-IF(K112="",I112,K112))))</f>
        <v/>
      </c>
      <c r="AH112" s="26" t="str">
        <f aca="false">IF(U112&lt;&gt;"Closed","",DATE(YEAR(P112),MONTH(P112),1))</f>
        <v/>
      </c>
      <c r="AI112" s="19" t="str">
        <f aca="false">IF(U112&lt;&gt;"Closed","",COUNTIFS($U$7:$U$506,"Closed",$P$7:$P$506,"&lt;"&amp;P112)+COUNTIFS($U$7:U112,"Closed",$P$7:P112,P112))</f>
        <v/>
      </c>
    </row>
    <row r="113" customFormat="false" ht="15" hidden="false" customHeight="false" outlineLevel="0" collapsed="false">
      <c r="A113" s="13"/>
      <c r="B113" s="48"/>
      <c r="C113" s="48"/>
      <c r="D113" s="48"/>
      <c r="E113" s="15"/>
      <c r="F113" s="15"/>
      <c r="G113" s="16"/>
      <c r="H113" s="17"/>
      <c r="I113" s="17"/>
      <c r="J113" s="17"/>
      <c r="K113" s="17"/>
      <c r="L113" s="16"/>
      <c r="M113" s="17"/>
      <c r="N113" s="16"/>
      <c r="O113" s="17"/>
      <c r="P113" s="15"/>
      <c r="Q113" s="17"/>
      <c r="R113" s="17"/>
      <c r="S113" s="17"/>
      <c r="T113" s="17"/>
      <c r="U113" s="18" t="str">
        <f aca="false">IF(A113="","",IF(N(G113)-N(L113)-N(N113)&lt;0,"Check shares",IF(AND(P113&lt;&gt;"",Q113&lt;&gt;""),"Closed","Open")))</f>
        <v/>
      </c>
      <c r="V113" s="19" t="str">
        <f aca="false">IF(OR(F113="",P113=""),"",NETWORKDAYS(F113,P113,Lists!$F$5:$F$40)-1)</f>
        <v/>
      </c>
      <c r="W113" s="18" t="str">
        <f aca="false">IF(V113="","",IF(V113=0,"Same day","Overnight"))</f>
        <v/>
      </c>
      <c r="X113" s="18" t="str">
        <f aca="false">IF(OR(E113="",F113=""),"",IF(AND(E113&gt;=F113,OR(P113="",E113&lt;=P113)),"Yes","No"))</f>
        <v/>
      </c>
      <c r="Y113" s="20" t="str">
        <f aca="false">IF(A113="","",N(G113)-N(L113)-N(N113))</f>
        <v/>
      </c>
      <c r="Z113" s="21" t="str">
        <f aca="false">IF(OR(G113="",H113="",I113=""),"",ABS(H113-I113)*G113)</f>
        <v/>
      </c>
      <c r="AA113" s="22" t="str">
        <f aca="false">IF(OR(J113="",N(Z113)=0),"",ABS(J113-H113)/ABS(H113-I113))</f>
        <v/>
      </c>
      <c r="AB113" s="23" t="str">
        <f aca="false">IF(U113&lt;&gt;"Closed","",(N(L113)*N(M113)+N(N113)*N(O113)+Y113*Q113)/G113)</f>
        <v/>
      </c>
      <c r="AC113" s="24" t="str">
        <f aca="false">IF(U113&lt;&gt;"Closed","",IF($B113="Short",-1,1)*((N(M113)-H113)*N(L113)+(N(O113)-H113)*N(N113)+(Q113-H113)*Y113)-N(R113))</f>
        <v/>
      </c>
      <c r="AD113" s="25" t="str">
        <f aca="false">IF(OR(AC113="",N(Z113)=0),"",AC113/Z113)</f>
        <v/>
      </c>
      <c r="AE113" s="25" t="str">
        <f aca="false">IF(OR(S113="",N(Z113)=0),"",IF($B113="Short",-1,1)*(S113-H113)*G113/Z113)</f>
        <v/>
      </c>
      <c r="AF113" s="25" t="str">
        <f aca="false">IF(OR(T113="",N(Z113)=0),"",IF($B113="Short",-1,1)*(T113-H113)*G113/Z113)</f>
        <v/>
      </c>
      <c r="AG113" s="21" t="str">
        <f aca="false">IF(U113&lt;&gt;"Open","",Y113*MAX(0,IF($B113="Short",-1,1)*(H113-IF(K113="",I113,K113))))</f>
        <v/>
      </c>
      <c r="AH113" s="26" t="str">
        <f aca="false">IF(U113&lt;&gt;"Closed","",DATE(YEAR(P113),MONTH(P113),1))</f>
        <v/>
      </c>
      <c r="AI113" s="19" t="str">
        <f aca="false">IF(U113&lt;&gt;"Closed","",COUNTIFS($U$7:$U$506,"Closed",$P$7:$P$506,"&lt;"&amp;P113)+COUNTIFS($U$7:U113,"Closed",$P$7:P113,P113))</f>
        <v/>
      </c>
    </row>
    <row r="114" customFormat="false" ht="15" hidden="false" customHeight="false" outlineLevel="0" collapsed="false">
      <c r="A114" s="13"/>
      <c r="B114" s="48"/>
      <c r="C114" s="48"/>
      <c r="D114" s="48"/>
      <c r="E114" s="15"/>
      <c r="F114" s="15"/>
      <c r="G114" s="16"/>
      <c r="H114" s="17"/>
      <c r="I114" s="17"/>
      <c r="J114" s="17"/>
      <c r="K114" s="17"/>
      <c r="L114" s="16"/>
      <c r="M114" s="17"/>
      <c r="N114" s="16"/>
      <c r="O114" s="17"/>
      <c r="P114" s="15"/>
      <c r="Q114" s="17"/>
      <c r="R114" s="17"/>
      <c r="S114" s="17"/>
      <c r="T114" s="17"/>
      <c r="U114" s="18" t="str">
        <f aca="false">IF(A114="","",IF(N(G114)-N(L114)-N(N114)&lt;0,"Check shares",IF(AND(P114&lt;&gt;"",Q114&lt;&gt;""),"Closed","Open")))</f>
        <v/>
      </c>
      <c r="V114" s="19" t="str">
        <f aca="false">IF(OR(F114="",P114=""),"",NETWORKDAYS(F114,P114,Lists!$F$5:$F$40)-1)</f>
        <v/>
      </c>
      <c r="W114" s="18" t="str">
        <f aca="false">IF(V114="","",IF(V114=0,"Same day","Overnight"))</f>
        <v/>
      </c>
      <c r="X114" s="18" t="str">
        <f aca="false">IF(OR(E114="",F114=""),"",IF(AND(E114&gt;=F114,OR(P114="",E114&lt;=P114)),"Yes","No"))</f>
        <v/>
      </c>
      <c r="Y114" s="20" t="str">
        <f aca="false">IF(A114="","",N(G114)-N(L114)-N(N114))</f>
        <v/>
      </c>
      <c r="Z114" s="21" t="str">
        <f aca="false">IF(OR(G114="",H114="",I114=""),"",ABS(H114-I114)*G114)</f>
        <v/>
      </c>
      <c r="AA114" s="22" t="str">
        <f aca="false">IF(OR(J114="",N(Z114)=0),"",ABS(J114-H114)/ABS(H114-I114))</f>
        <v/>
      </c>
      <c r="AB114" s="23" t="str">
        <f aca="false">IF(U114&lt;&gt;"Closed","",(N(L114)*N(M114)+N(N114)*N(O114)+Y114*Q114)/G114)</f>
        <v/>
      </c>
      <c r="AC114" s="24" t="str">
        <f aca="false">IF(U114&lt;&gt;"Closed","",IF($B114="Short",-1,1)*((N(M114)-H114)*N(L114)+(N(O114)-H114)*N(N114)+(Q114-H114)*Y114)-N(R114))</f>
        <v/>
      </c>
      <c r="AD114" s="25" t="str">
        <f aca="false">IF(OR(AC114="",N(Z114)=0),"",AC114/Z114)</f>
        <v/>
      </c>
      <c r="AE114" s="25" t="str">
        <f aca="false">IF(OR(S114="",N(Z114)=0),"",IF($B114="Short",-1,1)*(S114-H114)*G114/Z114)</f>
        <v/>
      </c>
      <c r="AF114" s="25" t="str">
        <f aca="false">IF(OR(T114="",N(Z114)=0),"",IF($B114="Short",-1,1)*(T114-H114)*G114/Z114)</f>
        <v/>
      </c>
      <c r="AG114" s="21" t="str">
        <f aca="false">IF(U114&lt;&gt;"Open","",Y114*MAX(0,IF($B114="Short",-1,1)*(H114-IF(K114="",I114,K114))))</f>
        <v/>
      </c>
      <c r="AH114" s="26" t="str">
        <f aca="false">IF(U114&lt;&gt;"Closed","",DATE(YEAR(P114),MONTH(P114),1))</f>
        <v/>
      </c>
      <c r="AI114" s="19" t="str">
        <f aca="false">IF(U114&lt;&gt;"Closed","",COUNTIFS($U$7:$U$506,"Closed",$P$7:$P$506,"&lt;"&amp;P114)+COUNTIFS($U$7:U114,"Closed",$P$7:P114,P114))</f>
        <v/>
      </c>
    </row>
    <row r="115" customFormat="false" ht="15" hidden="false" customHeight="false" outlineLevel="0" collapsed="false">
      <c r="A115" s="13"/>
      <c r="B115" s="48"/>
      <c r="C115" s="48"/>
      <c r="D115" s="48"/>
      <c r="E115" s="15"/>
      <c r="F115" s="15"/>
      <c r="G115" s="16"/>
      <c r="H115" s="17"/>
      <c r="I115" s="17"/>
      <c r="J115" s="17"/>
      <c r="K115" s="17"/>
      <c r="L115" s="16"/>
      <c r="M115" s="17"/>
      <c r="N115" s="16"/>
      <c r="O115" s="17"/>
      <c r="P115" s="15"/>
      <c r="Q115" s="17"/>
      <c r="R115" s="17"/>
      <c r="S115" s="17"/>
      <c r="T115" s="17"/>
      <c r="U115" s="18" t="str">
        <f aca="false">IF(A115="","",IF(N(G115)-N(L115)-N(N115)&lt;0,"Check shares",IF(AND(P115&lt;&gt;"",Q115&lt;&gt;""),"Closed","Open")))</f>
        <v/>
      </c>
      <c r="V115" s="19" t="str">
        <f aca="false">IF(OR(F115="",P115=""),"",NETWORKDAYS(F115,P115,Lists!$F$5:$F$40)-1)</f>
        <v/>
      </c>
      <c r="W115" s="18" t="str">
        <f aca="false">IF(V115="","",IF(V115=0,"Same day","Overnight"))</f>
        <v/>
      </c>
      <c r="X115" s="18" t="str">
        <f aca="false">IF(OR(E115="",F115=""),"",IF(AND(E115&gt;=F115,OR(P115="",E115&lt;=P115)),"Yes","No"))</f>
        <v/>
      </c>
      <c r="Y115" s="20" t="str">
        <f aca="false">IF(A115="","",N(G115)-N(L115)-N(N115))</f>
        <v/>
      </c>
      <c r="Z115" s="21" t="str">
        <f aca="false">IF(OR(G115="",H115="",I115=""),"",ABS(H115-I115)*G115)</f>
        <v/>
      </c>
      <c r="AA115" s="22" t="str">
        <f aca="false">IF(OR(J115="",N(Z115)=0),"",ABS(J115-H115)/ABS(H115-I115))</f>
        <v/>
      </c>
      <c r="AB115" s="23" t="str">
        <f aca="false">IF(U115&lt;&gt;"Closed","",(N(L115)*N(M115)+N(N115)*N(O115)+Y115*Q115)/G115)</f>
        <v/>
      </c>
      <c r="AC115" s="24" t="str">
        <f aca="false">IF(U115&lt;&gt;"Closed","",IF($B115="Short",-1,1)*((N(M115)-H115)*N(L115)+(N(O115)-H115)*N(N115)+(Q115-H115)*Y115)-N(R115))</f>
        <v/>
      </c>
      <c r="AD115" s="25" t="str">
        <f aca="false">IF(OR(AC115="",N(Z115)=0),"",AC115/Z115)</f>
        <v/>
      </c>
      <c r="AE115" s="25" t="str">
        <f aca="false">IF(OR(S115="",N(Z115)=0),"",IF($B115="Short",-1,1)*(S115-H115)*G115/Z115)</f>
        <v/>
      </c>
      <c r="AF115" s="25" t="str">
        <f aca="false">IF(OR(T115="",N(Z115)=0),"",IF($B115="Short",-1,1)*(T115-H115)*G115/Z115)</f>
        <v/>
      </c>
      <c r="AG115" s="21" t="str">
        <f aca="false">IF(U115&lt;&gt;"Open","",Y115*MAX(0,IF($B115="Short",-1,1)*(H115-IF(K115="",I115,K115))))</f>
        <v/>
      </c>
      <c r="AH115" s="26" t="str">
        <f aca="false">IF(U115&lt;&gt;"Closed","",DATE(YEAR(P115),MONTH(P115),1))</f>
        <v/>
      </c>
      <c r="AI115" s="19" t="str">
        <f aca="false">IF(U115&lt;&gt;"Closed","",COUNTIFS($U$7:$U$506,"Closed",$P$7:$P$506,"&lt;"&amp;P115)+COUNTIFS($U$7:U115,"Closed",$P$7:P115,P115))</f>
        <v/>
      </c>
    </row>
    <row r="116" customFormat="false" ht="15" hidden="false" customHeight="false" outlineLevel="0" collapsed="false">
      <c r="A116" s="13"/>
      <c r="B116" s="48"/>
      <c r="C116" s="48"/>
      <c r="D116" s="48"/>
      <c r="E116" s="15"/>
      <c r="F116" s="15"/>
      <c r="G116" s="16"/>
      <c r="H116" s="17"/>
      <c r="I116" s="17"/>
      <c r="J116" s="17"/>
      <c r="K116" s="17"/>
      <c r="L116" s="16"/>
      <c r="M116" s="17"/>
      <c r="N116" s="16"/>
      <c r="O116" s="17"/>
      <c r="P116" s="15"/>
      <c r="Q116" s="17"/>
      <c r="R116" s="17"/>
      <c r="S116" s="17"/>
      <c r="T116" s="17"/>
      <c r="U116" s="18" t="str">
        <f aca="false">IF(A116="","",IF(N(G116)-N(L116)-N(N116)&lt;0,"Check shares",IF(AND(P116&lt;&gt;"",Q116&lt;&gt;""),"Closed","Open")))</f>
        <v/>
      </c>
      <c r="V116" s="19" t="str">
        <f aca="false">IF(OR(F116="",P116=""),"",NETWORKDAYS(F116,P116,Lists!$F$5:$F$40)-1)</f>
        <v/>
      </c>
      <c r="W116" s="18" t="str">
        <f aca="false">IF(V116="","",IF(V116=0,"Same day","Overnight"))</f>
        <v/>
      </c>
      <c r="X116" s="18" t="str">
        <f aca="false">IF(OR(E116="",F116=""),"",IF(AND(E116&gt;=F116,OR(P116="",E116&lt;=P116)),"Yes","No"))</f>
        <v/>
      </c>
      <c r="Y116" s="20" t="str">
        <f aca="false">IF(A116="","",N(G116)-N(L116)-N(N116))</f>
        <v/>
      </c>
      <c r="Z116" s="21" t="str">
        <f aca="false">IF(OR(G116="",H116="",I116=""),"",ABS(H116-I116)*G116)</f>
        <v/>
      </c>
      <c r="AA116" s="22" t="str">
        <f aca="false">IF(OR(J116="",N(Z116)=0),"",ABS(J116-H116)/ABS(H116-I116))</f>
        <v/>
      </c>
      <c r="AB116" s="23" t="str">
        <f aca="false">IF(U116&lt;&gt;"Closed","",(N(L116)*N(M116)+N(N116)*N(O116)+Y116*Q116)/G116)</f>
        <v/>
      </c>
      <c r="AC116" s="24" t="str">
        <f aca="false">IF(U116&lt;&gt;"Closed","",IF($B116="Short",-1,1)*((N(M116)-H116)*N(L116)+(N(O116)-H116)*N(N116)+(Q116-H116)*Y116)-N(R116))</f>
        <v/>
      </c>
      <c r="AD116" s="25" t="str">
        <f aca="false">IF(OR(AC116="",N(Z116)=0),"",AC116/Z116)</f>
        <v/>
      </c>
      <c r="AE116" s="25" t="str">
        <f aca="false">IF(OR(S116="",N(Z116)=0),"",IF($B116="Short",-1,1)*(S116-H116)*G116/Z116)</f>
        <v/>
      </c>
      <c r="AF116" s="25" t="str">
        <f aca="false">IF(OR(T116="",N(Z116)=0),"",IF($B116="Short",-1,1)*(T116-H116)*G116/Z116)</f>
        <v/>
      </c>
      <c r="AG116" s="21" t="str">
        <f aca="false">IF(U116&lt;&gt;"Open","",Y116*MAX(0,IF($B116="Short",-1,1)*(H116-IF(K116="",I116,K116))))</f>
        <v/>
      </c>
      <c r="AH116" s="26" t="str">
        <f aca="false">IF(U116&lt;&gt;"Closed","",DATE(YEAR(P116),MONTH(P116),1))</f>
        <v/>
      </c>
      <c r="AI116" s="19" t="str">
        <f aca="false">IF(U116&lt;&gt;"Closed","",COUNTIFS($U$7:$U$506,"Closed",$P$7:$P$506,"&lt;"&amp;P116)+COUNTIFS($U$7:U116,"Closed",$P$7:P116,P116))</f>
        <v/>
      </c>
    </row>
    <row r="117" customFormat="false" ht="15" hidden="false" customHeight="false" outlineLevel="0" collapsed="false">
      <c r="A117" s="13"/>
      <c r="B117" s="48"/>
      <c r="C117" s="48"/>
      <c r="D117" s="48"/>
      <c r="E117" s="15"/>
      <c r="F117" s="15"/>
      <c r="G117" s="16"/>
      <c r="H117" s="17"/>
      <c r="I117" s="17"/>
      <c r="J117" s="17"/>
      <c r="K117" s="17"/>
      <c r="L117" s="16"/>
      <c r="M117" s="17"/>
      <c r="N117" s="16"/>
      <c r="O117" s="17"/>
      <c r="P117" s="15"/>
      <c r="Q117" s="17"/>
      <c r="R117" s="17"/>
      <c r="S117" s="17"/>
      <c r="T117" s="17"/>
      <c r="U117" s="18" t="str">
        <f aca="false">IF(A117="","",IF(N(G117)-N(L117)-N(N117)&lt;0,"Check shares",IF(AND(P117&lt;&gt;"",Q117&lt;&gt;""),"Closed","Open")))</f>
        <v/>
      </c>
      <c r="V117" s="19" t="str">
        <f aca="false">IF(OR(F117="",P117=""),"",NETWORKDAYS(F117,P117,Lists!$F$5:$F$40)-1)</f>
        <v/>
      </c>
      <c r="W117" s="18" t="str">
        <f aca="false">IF(V117="","",IF(V117=0,"Same day","Overnight"))</f>
        <v/>
      </c>
      <c r="X117" s="18" t="str">
        <f aca="false">IF(OR(E117="",F117=""),"",IF(AND(E117&gt;=F117,OR(P117="",E117&lt;=P117)),"Yes","No"))</f>
        <v/>
      </c>
      <c r="Y117" s="20" t="str">
        <f aca="false">IF(A117="","",N(G117)-N(L117)-N(N117))</f>
        <v/>
      </c>
      <c r="Z117" s="21" t="str">
        <f aca="false">IF(OR(G117="",H117="",I117=""),"",ABS(H117-I117)*G117)</f>
        <v/>
      </c>
      <c r="AA117" s="22" t="str">
        <f aca="false">IF(OR(J117="",N(Z117)=0),"",ABS(J117-H117)/ABS(H117-I117))</f>
        <v/>
      </c>
      <c r="AB117" s="23" t="str">
        <f aca="false">IF(U117&lt;&gt;"Closed","",(N(L117)*N(M117)+N(N117)*N(O117)+Y117*Q117)/G117)</f>
        <v/>
      </c>
      <c r="AC117" s="24" t="str">
        <f aca="false">IF(U117&lt;&gt;"Closed","",IF($B117="Short",-1,1)*((N(M117)-H117)*N(L117)+(N(O117)-H117)*N(N117)+(Q117-H117)*Y117)-N(R117))</f>
        <v/>
      </c>
      <c r="AD117" s="25" t="str">
        <f aca="false">IF(OR(AC117="",N(Z117)=0),"",AC117/Z117)</f>
        <v/>
      </c>
      <c r="AE117" s="25" t="str">
        <f aca="false">IF(OR(S117="",N(Z117)=0),"",IF($B117="Short",-1,1)*(S117-H117)*G117/Z117)</f>
        <v/>
      </c>
      <c r="AF117" s="25" t="str">
        <f aca="false">IF(OR(T117="",N(Z117)=0),"",IF($B117="Short",-1,1)*(T117-H117)*G117/Z117)</f>
        <v/>
      </c>
      <c r="AG117" s="21" t="str">
        <f aca="false">IF(U117&lt;&gt;"Open","",Y117*MAX(0,IF($B117="Short",-1,1)*(H117-IF(K117="",I117,K117))))</f>
        <v/>
      </c>
      <c r="AH117" s="26" t="str">
        <f aca="false">IF(U117&lt;&gt;"Closed","",DATE(YEAR(P117),MONTH(P117),1))</f>
        <v/>
      </c>
      <c r="AI117" s="19" t="str">
        <f aca="false">IF(U117&lt;&gt;"Closed","",COUNTIFS($U$7:$U$506,"Closed",$P$7:$P$506,"&lt;"&amp;P117)+COUNTIFS($U$7:U117,"Closed",$P$7:P117,P117))</f>
        <v/>
      </c>
    </row>
    <row r="118" customFormat="false" ht="15" hidden="false" customHeight="false" outlineLevel="0" collapsed="false">
      <c r="A118" s="13"/>
      <c r="B118" s="48"/>
      <c r="C118" s="48"/>
      <c r="D118" s="48"/>
      <c r="E118" s="15"/>
      <c r="F118" s="15"/>
      <c r="G118" s="16"/>
      <c r="H118" s="17"/>
      <c r="I118" s="17"/>
      <c r="J118" s="17"/>
      <c r="K118" s="17"/>
      <c r="L118" s="16"/>
      <c r="M118" s="17"/>
      <c r="N118" s="16"/>
      <c r="O118" s="17"/>
      <c r="P118" s="15"/>
      <c r="Q118" s="17"/>
      <c r="R118" s="17"/>
      <c r="S118" s="17"/>
      <c r="T118" s="17"/>
      <c r="U118" s="18" t="str">
        <f aca="false">IF(A118="","",IF(N(G118)-N(L118)-N(N118)&lt;0,"Check shares",IF(AND(P118&lt;&gt;"",Q118&lt;&gt;""),"Closed","Open")))</f>
        <v/>
      </c>
      <c r="V118" s="19" t="str">
        <f aca="false">IF(OR(F118="",P118=""),"",NETWORKDAYS(F118,P118,Lists!$F$5:$F$40)-1)</f>
        <v/>
      </c>
      <c r="W118" s="18" t="str">
        <f aca="false">IF(V118="","",IF(V118=0,"Same day","Overnight"))</f>
        <v/>
      </c>
      <c r="X118" s="18" t="str">
        <f aca="false">IF(OR(E118="",F118=""),"",IF(AND(E118&gt;=F118,OR(P118="",E118&lt;=P118)),"Yes","No"))</f>
        <v/>
      </c>
      <c r="Y118" s="20" t="str">
        <f aca="false">IF(A118="","",N(G118)-N(L118)-N(N118))</f>
        <v/>
      </c>
      <c r="Z118" s="21" t="str">
        <f aca="false">IF(OR(G118="",H118="",I118=""),"",ABS(H118-I118)*G118)</f>
        <v/>
      </c>
      <c r="AA118" s="22" t="str">
        <f aca="false">IF(OR(J118="",N(Z118)=0),"",ABS(J118-H118)/ABS(H118-I118))</f>
        <v/>
      </c>
      <c r="AB118" s="23" t="str">
        <f aca="false">IF(U118&lt;&gt;"Closed","",(N(L118)*N(M118)+N(N118)*N(O118)+Y118*Q118)/G118)</f>
        <v/>
      </c>
      <c r="AC118" s="24" t="str">
        <f aca="false">IF(U118&lt;&gt;"Closed","",IF($B118="Short",-1,1)*((N(M118)-H118)*N(L118)+(N(O118)-H118)*N(N118)+(Q118-H118)*Y118)-N(R118))</f>
        <v/>
      </c>
      <c r="AD118" s="25" t="str">
        <f aca="false">IF(OR(AC118="",N(Z118)=0),"",AC118/Z118)</f>
        <v/>
      </c>
      <c r="AE118" s="25" t="str">
        <f aca="false">IF(OR(S118="",N(Z118)=0),"",IF($B118="Short",-1,1)*(S118-H118)*G118/Z118)</f>
        <v/>
      </c>
      <c r="AF118" s="25" t="str">
        <f aca="false">IF(OR(T118="",N(Z118)=0),"",IF($B118="Short",-1,1)*(T118-H118)*G118/Z118)</f>
        <v/>
      </c>
      <c r="AG118" s="21" t="str">
        <f aca="false">IF(U118&lt;&gt;"Open","",Y118*MAX(0,IF($B118="Short",-1,1)*(H118-IF(K118="",I118,K118))))</f>
        <v/>
      </c>
      <c r="AH118" s="26" t="str">
        <f aca="false">IF(U118&lt;&gt;"Closed","",DATE(YEAR(P118),MONTH(P118),1))</f>
        <v/>
      </c>
      <c r="AI118" s="19" t="str">
        <f aca="false">IF(U118&lt;&gt;"Closed","",COUNTIFS($U$7:$U$506,"Closed",$P$7:$P$506,"&lt;"&amp;P118)+COUNTIFS($U$7:U118,"Closed",$P$7:P118,P118))</f>
        <v/>
      </c>
    </row>
    <row r="119" customFormat="false" ht="15" hidden="false" customHeight="false" outlineLevel="0" collapsed="false">
      <c r="A119" s="13"/>
      <c r="B119" s="48"/>
      <c r="C119" s="48"/>
      <c r="D119" s="48"/>
      <c r="E119" s="15"/>
      <c r="F119" s="15"/>
      <c r="G119" s="16"/>
      <c r="H119" s="17"/>
      <c r="I119" s="17"/>
      <c r="J119" s="17"/>
      <c r="K119" s="17"/>
      <c r="L119" s="16"/>
      <c r="M119" s="17"/>
      <c r="N119" s="16"/>
      <c r="O119" s="17"/>
      <c r="P119" s="15"/>
      <c r="Q119" s="17"/>
      <c r="R119" s="17"/>
      <c r="S119" s="17"/>
      <c r="T119" s="17"/>
      <c r="U119" s="18" t="str">
        <f aca="false">IF(A119="","",IF(N(G119)-N(L119)-N(N119)&lt;0,"Check shares",IF(AND(P119&lt;&gt;"",Q119&lt;&gt;""),"Closed","Open")))</f>
        <v/>
      </c>
      <c r="V119" s="19" t="str">
        <f aca="false">IF(OR(F119="",P119=""),"",NETWORKDAYS(F119,P119,Lists!$F$5:$F$40)-1)</f>
        <v/>
      </c>
      <c r="W119" s="18" t="str">
        <f aca="false">IF(V119="","",IF(V119=0,"Same day","Overnight"))</f>
        <v/>
      </c>
      <c r="X119" s="18" t="str">
        <f aca="false">IF(OR(E119="",F119=""),"",IF(AND(E119&gt;=F119,OR(P119="",E119&lt;=P119)),"Yes","No"))</f>
        <v/>
      </c>
      <c r="Y119" s="20" t="str">
        <f aca="false">IF(A119="","",N(G119)-N(L119)-N(N119))</f>
        <v/>
      </c>
      <c r="Z119" s="21" t="str">
        <f aca="false">IF(OR(G119="",H119="",I119=""),"",ABS(H119-I119)*G119)</f>
        <v/>
      </c>
      <c r="AA119" s="22" t="str">
        <f aca="false">IF(OR(J119="",N(Z119)=0),"",ABS(J119-H119)/ABS(H119-I119))</f>
        <v/>
      </c>
      <c r="AB119" s="23" t="str">
        <f aca="false">IF(U119&lt;&gt;"Closed","",(N(L119)*N(M119)+N(N119)*N(O119)+Y119*Q119)/G119)</f>
        <v/>
      </c>
      <c r="AC119" s="24" t="str">
        <f aca="false">IF(U119&lt;&gt;"Closed","",IF($B119="Short",-1,1)*((N(M119)-H119)*N(L119)+(N(O119)-H119)*N(N119)+(Q119-H119)*Y119)-N(R119))</f>
        <v/>
      </c>
      <c r="AD119" s="25" t="str">
        <f aca="false">IF(OR(AC119="",N(Z119)=0),"",AC119/Z119)</f>
        <v/>
      </c>
      <c r="AE119" s="25" t="str">
        <f aca="false">IF(OR(S119="",N(Z119)=0),"",IF($B119="Short",-1,1)*(S119-H119)*G119/Z119)</f>
        <v/>
      </c>
      <c r="AF119" s="25" t="str">
        <f aca="false">IF(OR(T119="",N(Z119)=0),"",IF($B119="Short",-1,1)*(T119-H119)*G119/Z119)</f>
        <v/>
      </c>
      <c r="AG119" s="21" t="str">
        <f aca="false">IF(U119&lt;&gt;"Open","",Y119*MAX(0,IF($B119="Short",-1,1)*(H119-IF(K119="",I119,K119))))</f>
        <v/>
      </c>
      <c r="AH119" s="26" t="str">
        <f aca="false">IF(U119&lt;&gt;"Closed","",DATE(YEAR(P119),MONTH(P119),1))</f>
        <v/>
      </c>
      <c r="AI119" s="19" t="str">
        <f aca="false">IF(U119&lt;&gt;"Closed","",COUNTIFS($U$7:$U$506,"Closed",$P$7:$P$506,"&lt;"&amp;P119)+COUNTIFS($U$7:U119,"Closed",$P$7:P119,P119))</f>
        <v/>
      </c>
    </row>
    <row r="120" customFormat="false" ht="15" hidden="false" customHeight="false" outlineLevel="0" collapsed="false">
      <c r="A120" s="13"/>
      <c r="B120" s="48"/>
      <c r="C120" s="48"/>
      <c r="D120" s="48"/>
      <c r="E120" s="15"/>
      <c r="F120" s="15"/>
      <c r="G120" s="16"/>
      <c r="H120" s="17"/>
      <c r="I120" s="17"/>
      <c r="J120" s="17"/>
      <c r="K120" s="17"/>
      <c r="L120" s="16"/>
      <c r="M120" s="17"/>
      <c r="N120" s="16"/>
      <c r="O120" s="17"/>
      <c r="P120" s="15"/>
      <c r="Q120" s="17"/>
      <c r="R120" s="17"/>
      <c r="S120" s="17"/>
      <c r="T120" s="17"/>
      <c r="U120" s="18" t="str">
        <f aca="false">IF(A120="","",IF(N(G120)-N(L120)-N(N120)&lt;0,"Check shares",IF(AND(P120&lt;&gt;"",Q120&lt;&gt;""),"Closed","Open")))</f>
        <v/>
      </c>
      <c r="V120" s="19" t="str">
        <f aca="false">IF(OR(F120="",P120=""),"",NETWORKDAYS(F120,P120,Lists!$F$5:$F$40)-1)</f>
        <v/>
      </c>
      <c r="W120" s="18" t="str">
        <f aca="false">IF(V120="","",IF(V120=0,"Same day","Overnight"))</f>
        <v/>
      </c>
      <c r="X120" s="18" t="str">
        <f aca="false">IF(OR(E120="",F120=""),"",IF(AND(E120&gt;=F120,OR(P120="",E120&lt;=P120)),"Yes","No"))</f>
        <v/>
      </c>
      <c r="Y120" s="20" t="str">
        <f aca="false">IF(A120="","",N(G120)-N(L120)-N(N120))</f>
        <v/>
      </c>
      <c r="Z120" s="21" t="str">
        <f aca="false">IF(OR(G120="",H120="",I120=""),"",ABS(H120-I120)*G120)</f>
        <v/>
      </c>
      <c r="AA120" s="22" t="str">
        <f aca="false">IF(OR(J120="",N(Z120)=0),"",ABS(J120-H120)/ABS(H120-I120))</f>
        <v/>
      </c>
      <c r="AB120" s="23" t="str">
        <f aca="false">IF(U120&lt;&gt;"Closed","",(N(L120)*N(M120)+N(N120)*N(O120)+Y120*Q120)/G120)</f>
        <v/>
      </c>
      <c r="AC120" s="24" t="str">
        <f aca="false">IF(U120&lt;&gt;"Closed","",IF($B120="Short",-1,1)*((N(M120)-H120)*N(L120)+(N(O120)-H120)*N(N120)+(Q120-H120)*Y120)-N(R120))</f>
        <v/>
      </c>
      <c r="AD120" s="25" t="str">
        <f aca="false">IF(OR(AC120="",N(Z120)=0),"",AC120/Z120)</f>
        <v/>
      </c>
      <c r="AE120" s="25" t="str">
        <f aca="false">IF(OR(S120="",N(Z120)=0),"",IF($B120="Short",-1,1)*(S120-H120)*G120/Z120)</f>
        <v/>
      </c>
      <c r="AF120" s="25" t="str">
        <f aca="false">IF(OR(T120="",N(Z120)=0),"",IF($B120="Short",-1,1)*(T120-H120)*G120/Z120)</f>
        <v/>
      </c>
      <c r="AG120" s="21" t="str">
        <f aca="false">IF(U120&lt;&gt;"Open","",Y120*MAX(0,IF($B120="Short",-1,1)*(H120-IF(K120="",I120,K120))))</f>
        <v/>
      </c>
      <c r="AH120" s="26" t="str">
        <f aca="false">IF(U120&lt;&gt;"Closed","",DATE(YEAR(P120),MONTH(P120),1))</f>
        <v/>
      </c>
      <c r="AI120" s="19" t="str">
        <f aca="false">IF(U120&lt;&gt;"Closed","",COUNTIFS($U$7:$U$506,"Closed",$P$7:$P$506,"&lt;"&amp;P120)+COUNTIFS($U$7:U120,"Closed",$P$7:P120,P120))</f>
        <v/>
      </c>
    </row>
    <row r="121" customFormat="false" ht="15" hidden="false" customHeight="false" outlineLevel="0" collapsed="false">
      <c r="A121" s="13"/>
      <c r="B121" s="48"/>
      <c r="C121" s="48"/>
      <c r="D121" s="48"/>
      <c r="E121" s="15"/>
      <c r="F121" s="15"/>
      <c r="G121" s="16"/>
      <c r="H121" s="17"/>
      <c r="I121" s="17"/>
      <c r="J121" s="17"/>
      <c r="K121" s="17"/>
      <c r="L121" s="16"/>
      <c r="M121" s="17"/>
      <c r="N121" s="16"/>
      <c r="O121" s="17"/>
      <c r="P121" s="15"/>
      <c r="Q121" s="17"/>
      <c r="R121" s="17"/>
      <c r="S121" s="17"/>
      <c r="T121" s="17"/>
      <c r="U121" s="18" t="str">
        <f aca="false">IF(A121="","",IF(N(G121)-N(L121)-N(N121)&lt;0,"Check shares",IF(AND(P121&lt;&gt;"",Q121&lt;&gt;""),"Closed","Open")))</f>
        <v/>
      </c>
      <c r="V121" s="19" t="str">
        <f aca="false">IF(OR(F121="",P121=""),"",NETWORKDAYS(F121,P121,Lists!$F$5:$F$40)-1)</f>
        <v/>
      </c>
      <c r="W121" s="18" t="str">
        <f aca="false">IF(V121="","",IF(V121=0,"Same day","Overnight"))</f>
        <v/>
      </c>
      <c r="X121" s="18" t="str">
        <f aca="false">IF(OR(E121="",F121=""),"",IF(AND(E121&gt;=F121,OR(P121="",E121&lt;=P121)),"Yes","No"))</f>
        <v/>
      </c>
      <c r="Y121" s="20" t="str">
        <f aca="false">IF(A121="","",N(G121)-N(L121)-N(N121))</f>
        <v/>
      </c>
      <c r="Z121" s="21" t="str">
        <f aca="false">IF(OR(G121="",H121="",I121=""),"",ABS(H121-I121)*G121)</f>
        <v/>
      </c>
      <c r="AA121" s="22" t="str">
        <f aca="false">IF(OR(J121="",N(Z121)=0),"",ABS(J121-H121)/ABS(H121-I121))</f>
        <v/>
      </c>
      <c r="AB121" s="23" t="str">
        <f aca="false">IF(U121&lt;&gt;"Closed","",(N(L121)*N(M121)+N(N121)*N(O121)+Y121*Q121)/G121)</f>
        <v/>
      </c>
      <c r="AC121" s="24" t="str">
        <f aca="false">IF(U121&lt;&gt;"Closed","",IF($B121="Short",-1,1)*((N(M121)-H121)*N(L121)+(N(O121)-H121)*N(N121)+(Q121-H121)*Y121)-N(R121))</f>
        <v/>
      </c>
      <c r="AD121" s="25" t="str">
        <f aca="false">IF(OR(AC121="",N(Z121)=0),"",AC121/Z121)</f>
        <v/>
      </c>
      <c r="AE121" s="25" t="str">
        <f aca="false">IF(OR(S121="",N(Z121)=0),"",IF($B121="Short",-1,1)*(S121-H121)*G121/Z121)</f>
        <v/>
      </c>
      <c r="AF121" s="25" t="str">
        <f aca="false">IF(OR(T121="",N(Z121)=0),"",IF($B121="Short",-1,1)*(T121-H121)*G121/Z121)</f>
        <v/>
      </c>
      <c r="AG121" s="21" t="str">
        <f aca="false">IF(U121&lt;&gt;"Open","",Y121*MAX(0,IF($B121="Short",-1,1)*(H121-IF(K121="",I121,K121))))</f>
        <v/>
      </c>
      <c r="AH121" s="26" t="str">
        <f aca="false">IF(U121&lt;&gt;"Closed","",DATE(YEAR(P121),MONTH(P121),1))</f>
        <v/>
      </c>
      <c r="AI121" s="19" t="str">
        <f aca="false">IF(U121&lt;&gt;"Closed","",COUNTIFS($U$7:$U$506,"Closed",$P$7:$P$506,"&lt;"&amp;P121)+COUNTIFS($U$7:U121,"Closed",$P$7:P121,P121))</f>
        <v/>
      </c>
    </row>
    <row r="122" customFormat="false" ht="15" hidden="false" customHeight="false" outlineLevel="0" collapsed="false">
      <c r="A122" s="13"/>
      <c r="B122" s="48"/>
      <c r="C122" s="48"/>
      <c r="D122" s="48"/>
      <c r="E122" s="15"/>
      <c r="F122" s="15"/>
      <c r="G122" s="16"/>
      <c r="H122" s="17"/>
      <c r="I122" s="17"/>
      <c r="J122" s="17"/>
      <c r="K122" s="17"/>
      <c r="L122" s="16"/>
      <c r="M122" s="17"/>
      <c r="N122" s="16"/>
      <c r="O122" s="17"/>
      <c r="P122" s="15"/>
      <c r="Q122" s="17"/>
      <c r="R122" s="17"/>
      <c r="S122" s="17"/>
      <c r="T122" s="17"/>
      <c r="U122" s="18" t="str">
        <f aca="false">IF(A122="","",IF(N(G122)-N(L122)-N(N122)&lt;0,"Check shares",IF(AND(P122&lt;&gt;"",Q122&lt;&gt;""),"Closed","Open")))</f>
        <v/>
      </c>
      <c r="V122" s="19" t="str">
        <f aca="false">IF(OR(F122="",P122=""),"",NETWORKDAYS(F122,P122,Lists!$F$5:$F$40)-1)</f>
        <v/>
      </c>
      <c r="W122" s="18" t="str">
        <f aca="false">IF(V122="","",IF(V122=0,"Same day","Overnight"))</f>
        <v/>
      </c>
      <c r="X122" s="18" t="str">
        <f aca="false">IF(OR(E122="",F122=""),"",IF(AND(E122&gt;=F122,OR(P122="",E122&lt;=P122)),"Yes","No"))</f>
        <v/>
      </c>
      <c r="Y122" s="20" t="str">
        <f aca="false">IF(A122="","",N(G122)-N(L122)-N(N122))</f>
        <v/>
      </c>
      <c r="Z122" s="21" t="str">
        <f aca="false">IF(OR(G122="",H122="",I122=""),"",ABS(H122-I122)*G122)</f>
        <v/>
      </c>
      <c r="AA122" s="22" t="str">
        <f aca="false">IF(OR(J122="",N(Z122)=0),"",ABS(J122-H122)/ABS(H122-I122))</f>
        <v/>
      </c>
      <c r="AB122" s="23" t="str">
        <f aca="false">IF(U122&lt;&gt;"Closed","",(N(L122)*N(M122)+N(N122)*N(O122)+Y122*Q122)/G122)</f>
        <v/>
      </c>
      <c r="AC122" s="24" t="str">
        <f aca="false">IF(U122&lt;&gt;"Closed","",IF($B122="Short",-1,1)*((N(M122)-H122)*N(L122)+(N(O122)-H122)*N(N122)+(Q122-H122)*Y122)-N(R122))</f>
        <v/>
      </c>
      <c r="AD122" s="25" t="str">
        <f aca="false">IF(OR(AC122="",N(Z122)=0),"",AC122/Z122)</f>
        <v/>
      </c>
      <c r="AE122" s="25" t="str">
        <f aca="false">IF(OR(S122="",N(Z122)=0),"",IF($B122="Short",-1,1)*(S122-H122)*G122/Z122)</f>
        <v/>
      </c>
      <c r="AF122" s="25" t="str">
        <f aca="false">IF(OR(T122="",N(Z122)=0),"",IF($B122="Short",-1,1)*(T122-H122)*G122/Z122)</f>
        <v/>
      </c>
      <c r="AG122" s="21" t="str">
        <f aca="false">IF(U122&lt;&gt;"Open","",Y122*MAX(0,IF($B122="Short",-1,1)*(H122-IF(K122="",I122,K122))))</f>
        <v/>
      </c>
      <c r="AH122" s="26" t="str">
        <f aca="false">IF(U122&lt;&gt;"Closed","",DATE(YEAR(P122),MONTH(P122),1))</f>
        <v/>
      </c>
      <c r="AI122" s="19" t="str">
        <f aca="false">IF(U122&lt;&gt;"Closed","",COUNTIFS($U$7:$U$506,"Closed",$P$7:$P$506,"&lt;"&amp;P122)+COUNTIFS($U$7:U122,"Closed",$P$7:P122,P122))</f>
        <v/>
      </c>
    </row>
    <row r="123" customFormat="false" ht="15" hidden="false" customHeight="false" outlineLevel="0" collapsed="false">
      <c r="A123" s="13"/>
      <c r="B123" s="48"/>
      <c r="C123" s="48"/>
      <c r="D123" s="48"/>
      <c r="E123" s="15"/>
      <c r="F123" s="15"/>
      <c r="G123" s="16"/>
      <c r="H123" s="17"/>
      <c r="I123" s="17"/>
      <c r="J123" s="17"/>
      <c r="K123" s="17"/>
      <c r="L123" s="16"/>
      <c r="M123" s="17"/>
      <c r="N123" s="16"/>
      <c r="O123" s="17"/>
      <c r="P123" s="15"/>
      <c r="Q123" s="17"/>
      <c r="R123" s="17"/>
      <c r="S123" s="17"/>
      <c r="T123" s="17"/>
      <c r="U123" s="18" t="str">
        <f aca="false">IF(A123="","",IF(N(G123)-N(L123)-N(N123)&lt;0,"Check shares",IF(AND(P123&lt;&gt;"",Q123&lt;&gt;""),"Closed","Open")))</f>
        <v/>
      </c>
      <c r="V123" s="19" t="str">
        <f aca="false">IF(OR(F123="",P123=""),"",NETWORKDAYS(F123,P123,Lists!$F$5:$F$40)-1)</f>
        <v/>
      </c>
      <c r="W123" s="18" t="str">
        <f aca="false">IF(V123="","",IF(V123=0,"Same day","Overnight"))</f>
        <v/>
      </c>
      <c r="X123" s="18" t="str">
        <f aca="false">IF(OR(E123="",F123=""),"",IF(AND(E123&gt;=F123,OR(P123="",E123&lt;=P123)),"Yes","No"))</f>
        <v/>
      </c>
      <c r="Y123" s="20" t="str">
        <f aca="false">IF(A123="","",N(G123)-N(L123)-N(N123))</f>
        <v/>
      </c>
      <c r="Z123" s="21" t="str">
        <f aca="false">IF(OR(G123="",H123="",I123=""),"",ABS(H123-I123)*G123)</f>
        <v/>
      </c>
      <c r="AA123" s="22" t="str">
        <f aca="false">IF(OR(J123="",N(Z123)=0),"",ABS(J123-H123)/ABS(H123-I123))</f>
        <v/>
      </c>
      <c r="AB123" s="23" t="str">
        <f aca="false">IF(U123&lt;&gt;"Closed","",(N(L123)*N(M123)+N(N123)*N(O123)+Y123*Q123)/G123)</f>
        <v/>
      </c>
      <c r="AC123" s="24" t="str">
        <f aca="false">IF(U123&lt;&gt;"Closed","",IF($B123="Short",-1,1)*((N(M123)-H123)*N(L123)+(N(O123)-H123)*N(N123)+(Q123-H123)*Y123)-N(R123))</f>
        <v/>
      </c>
      <c r="AD123" s="25" t="str">
        <f aca="false">IF(OR(AC123="",N(Z123)=0),"",AC123/Z123)</f>
        <v/>
      </c>
      <c r="AE123" s="25" t="str">
        <f aca="false">IF(OR(S123="",N(Z123)=0),"",IF($B123="Short",-1,1)*(S123-H123)*G123/Z123)</f>
        <v/>
      </c>
      <c r="AF123" s="25" t="str">
        <f aca="false">IF(OR(T123="",N(Z123)=0),"",IF($B123="Short",-1,1)*(T123-H123)*G123/Z123)</f>
        <v/>
      </c>
      <c r="AG123" s="21" t="str">
        <f aca="false">IF(U123&lt;&gt;"Open","",Y123*MAX(0,IF($B123="Short",-1,1)*(H123-IF(K123="",I123,K123))))</f>
        <v/>
      </c>
      <c r="AH123" s="26" t="str">
        <f aca="false">IF(U123&lt;&gt;"Closed","",DATE(YEAR(P123),MONTH(P123),1))</f>
        <v/>
      </c>
      <c r="AI123" s="19" t="str">
        <f aca="false">IF(U123&lt;&gt;"Closed","",COUNTIFS($U$7:$U$506,"Closed",$P$7:$P$506,"&lt;"&amp;P123)+COUNTIFS($U$7:U123,"Closed",$P$7:P123,P123))</f>
        <v/>
      </c>
    </row>
    <row r="124" customFormat="false" ht="15" hidden="false" customHeight="false" outlineLevel="0" collapsed="false">
      <c r="A124" s="13"/>
      <c r="B124" s="48"/>
      <c r="C124" s="48"/>
      <c r="D124" s="48"/>
      <c r="E124" s="15"/>
      <c r="F124" s="15"/>
      <c r="G124" s="16"/>
      <c r="H124" s="17"/>
      <c r="I124" s="17"/>
      <c r="J124" s="17"/>
      <c r="K124" s="17"/>
      <c r="L124" s="16"/>
      <c r="M124" s="17"/>
      <c r="N124" s="16"/>
      <c r="O124" s="17"/>
      <c r="P124" s="15"/>
      <c r="Q124" s="17"/>
      <c r="R124" s="17"/>
      <c r="S124" s="17"/>
      <c r="T124" s="17"/>
      <c r="U124" s="18" t="str">
        <f aca="false">IF(A124="","",IF(N(G124)-N(L124)-N(N124)&lt;0,"Check shares",IF(AND(P124&lt;&gt;"",Q124&lt;&gt;""),"Closed","Open")))</f>
        <v/>
      </c>
      <c r="V124" s="19" t="str">
        <f aca="false">IF(OR(F124="",P124=""),"",NETWORKDAYS(F124,P124,Lists!$F$5:$F$40)-1)</f>
        <v/>
      </c>
      <c r="W124" s="18" t="str">
        <f aca="false">IF(V124="","",IF(V124=0,"Same day","Overnight"))</f>
        <v/>
      </c>
      <c r="X124" s="18" t="str">
        <f aca="false">IF(OR(E124="",F124=""),"",IF(AND(E124&gt;=F124,OR(P124="",E124&lt;=P124)),"Yes","No"))</f>
        <v/>
      </c>
      <c r="Y124" s="20" t="str">
        <f aca="false">IF(A124="","",N(G124)-N(L124)-N(N124))</f>
        <v/>
      </c>
      <c r="Z124" s="21" t="str">
        <f aca="false">IF(OR(G124="",H124="",I124=""),"",ABS(H124-I124)*G124)</f>
        <v/>
      </c>
      <c r="AA124" s="22" t="str">
        <f aca="false">IF(OR(J124="",N(Z124)=0),"",ABS(J124-H124)/ABS(H124-I124))</f>
        <v/>
      </c>
      <c r="AB124" s="23" t="str">
        <f aca="false">IF(U124&lt;&gt;"Closed","",(N(L124)*N(M124)+N(N124)*N(O124)+Y124*Q124)/G124)</f>
        <v/>
      </c>
      <c r="AC124" s="24" t="str">
        <f aca="false">IF(U124&lt;&gt;"Closed","",IF($B124="Short",-1,1)*((N(M124)-H124)*N(L124)+(N(O124)-H124)*N(N124)+(Q124-H124)*Y124)-N(R124))</f>
        <v/>
      </c>
      <c r="AD124" s="25" t="str">
        <f aca="false">IF(OR(AC124="",N(Z124)=0),"",AC124/Z124)</f>
        <v/>
      </c>
      <c r="AE124" s="25" t="str">
        <f aca="false">IF(OR(S124="",N(Z124)=0),"",IF($B124="Short",-1,1)*(S124-H124)*G124/Z124)</f>
        <v/>
      </c>
      <c r="AF124" s="25" t="str">
        <f aca="false">IF(OR(T124="",N(Z124)=0),"",IF($B124="Short",-1,1)*(T124-H124)*G124/Z124)</f>
        <v/>
      </c>
      <c r="AG124" s="21" t="str">
        <f aca="false">IF(U124&lt;&gt;"Open","",Y124*MAX(0,IF($B124="Short",-1,1)*(H124-IF(K124="",I124,K124))))</f>
        <v/>
      </c>
      <c r="AH124" s="26" t="str">
        <f aca="false">IF(U124&lt;&gt;"Closed","",DATE(YEAR(P124),MONTH(P124),1))</f>
        <v/>
      </c>
      <c r="AI124" s="19" t="str">
        <f aca="false">IF(U124&lt;&gt;"Closed","",COUNTIFS($U$7:$U$506,"Closed",$P$7:$P$506,"&lt;"&amp;P124)+COUNTIFS($U$7:U124,"Closed",$P$7:P124,P124))</f>
        <v/>
      </c>
    </row>
    <row r="125" customFormat="false" ht="15" hidden="false" customHeight="false" outlineLevel="0" collapsed="false">
      <c r="A125" s="13"/>
      <c r="B125" s="48"/>
      <c r="C125" s="48"/>
      <c r="D125" s="48"/>
      <c r="E125" s="15"/>
      <c r="F125" s="15"/>
      <c r="G125" s="16"/>
      <c r="H125" s="17"/>
      <c r="I125" s="17"/>
      <c r="J125" s="17"/>
      <c r="K125" s="17"/>
      <c r="L125" s="16"/>
      <c r="M125" s="17"/>
      <c r="N125" s="16"/>
      <c r="O125" s="17"/>
      <c r="P125" s="15"/>
      <c r="Q125" s="17"/>
      <c r="R125" s="17"/>
      <c r="S125" s="17"/>
      <c r="T125" s="17"/>
      <c r="U125" s="18" t="str">
        <f aca="false">IF(A125="","",IF(N(G125)-N(L125)-N(N125)&lt;0,"Check shares",IF(AND(P125&lt;&gt;"",Q125&lt;&gt;""),"Closed","Open")))</f>
        <v/>
      </c>
      <c r="V125" s="19" t="str">
        <f aca="false">IF(OR(F125="",P125=""),"",NETWORKDAYS(F125,P125,Lists!$F$5:$F$40)-1)</f>
        <v/>
      </c>
      <c r="W125" s="18" t="str">
        <f aca="false">IF(V125="","",IF(V125=0,"Same day","Overnight"))</f>
        <v/>
      </c>
      <c r="X125" s="18" t="str">
        <f aca="false">IF(OR(E125="",F125=""),"",IF(AND(E125&gt;=F125,OR(P125="",E125&lt;=P125)),"Yes","No"))</f>
        <v/>
      </c>
      <c r="Y125" s="20" t="str">
        <f aca="false">IF(A125="","",N(G125)-N(L125)-N(N125))</f>
        <v/>
      </c>
      <c r="Z125" s="21" t="str">
        <f aca="false">IF(OR(G125="",H125="",I125=""),"",ABS(H125-I125)*G125)</f>
        <v/>
      </c>
      <c r="AA125" s="22" t="str">
        <f aca="false">IF(OR(J125="",N(Z125)=0),"",ABS(J125-H125)/ABS(H125-I125))</f>
        <v/>
      </c>
      <c r="AB125" s="23" t="str">
        <f aca="false">IF(U125&lt;&gt;"Closed","",(N(L125)*N(M125)+N(N125)*N(O125)+Y125*Q125)/G125)</f>
        <v/>
      </c>
      <c r="AC125" s="24" t="str">
        <f aca="false">IF(U125&lt;&gt;"Closed","",IF($B125="Short",-1,1)*((N(M125)-H125)*N(L125)+(N(O125)-H125)*N(N125)+(Q125-H125)*Y125)-N(R125))</f>
        <v/>
      </c>
      <c r="AD125" s="25" t="str">
        <f aca="false">IF(OR(AC125="",N(Z125)=0),"",AC125/Z125)</f>
        <v/>
      </c>
      <c r="AE125" s="25" t="str">
        <f aca="false">IF(OR(S125="",N(Z125)=0),"",IF($B125="Short",-1,1)*(S125-H125)*G125/Z125)</f>
        <v/>
      </c>
      <c r="AF125" s="25" t="str">
        <f aca="false">IF(OR(T125="",N(Z125)=0),"",IF($B125="Short",-1,1)*(T125-H125)*G125/Z125)</f>
        <v/>
      </c>
      <c r="AG125" s="21" t="str">
        <f aca="false">IF(U125&lt;&gt;"Open","",Y125*MAX(0,IF($B125="Short",-1,1)*(H125-IF(K125="",I125,K125))))</f>
        <v/>
      </c>
      <c r="AH125" s="26" t="str">
        <f aca="false">IF(U125&lt;&gt;"Closed","",DATE(YEAR(P125),MONTH(P125),1))</f>
        <v/>
      </c>
      <c r="AI125" s="19" t="str">
        <f aca="false">IF(U125&lt;&gt;"Closed","",COUNTIFS($U$7:$U$506,"Closed",$P$7:$P$506,"&lt;"&amp;P125)+COUNTIFS($U$7:U125,"Closed",$P$7:P125,P125))</f>
        <v/>
      </c>
    </row>
    <row r="126" customFormat="false" ht="15" hidden="false" customHeight="false" outlineLevel="0" collapsed="false">
      <c r="A126" s="13"/>
      <c r="B126" s="48"/>
      <c r="C126" s="48"/>
      <c r="D126" s="48"/>
      <c r="E126" s="15"/>
      <c r="F126" s="15"/>
      <c r="G126" s="16"/>
      <c r="H126" s="17"/>
      <c r="I126" s="17"/>
      <c r="J126" s="17"/>
      <c r="K126" s="17"/>
      <c r="L126" s="16"/>
      <c r="M126" s="17"/>
      <c r="N126" s="16"/>
      <c r="O126" s="17"/>
      <c r="P126" s="15"/>
      <c r="Q126" s="17"/>
      <c r="R126" s="17"/>
      <c r="S126" s="17"/>
      <c r="T126" s="17"/>
      <c r="U126" s="18" t="str">
        <f aca="false">IF(A126="","",IF(N(G126)-N(L126)-N(N126)&lt;0,"Check shares",IF(AND(P126&lt;&gt;"",Q126&lt;&gt;""),"Closed","Open")))</f>
        <v/>
      </c>
      <c r="V126" s="19" t="str">
        <f aca="false">IF(OR(F126="",P126=""),"",NETWORKDAYS(F126,P126,Lists!$F$5:$F$40)-1)</f>
        <v/>
      </c>
      <c r="W126" s="18" t="str">
        <f aca="false">IF(V126="","",IF(V126=0,"Same day","Overnight"))</f>
        <v/>
      </c>
      <c r="X126" s="18" t="str">
        <f aca="false">IF(OR(E126="",F126=""),"",IF(AND(E126&gt;=F126,OR(P126="",E126&lt;=P126)),"Yes","No"))</f>
        <v/>
      </c>
      <c r="Y126" s="20" t="str">
        <f aca="false">IF(A126="","",N(G126)-N(L126)-N(N126))</f>
        <v/>
      </c>
      <c r="Z126" s="21" t="str">
        <f aca="false">IF(OR(G126="",H126="",I126=""),"",ABS(H126-I126)*G126)</f>
        <v/>
      </c>
      <c r="AA126" s="22" t="str">
        <f aca="false">IF(OR(J126="",N(Z126)=0),"",ABS(J126-H126)/ABS(H126-I126))</f>
        <v/>
      </c>
      <c r="AB126" s="23" t="str">
        <f aca="false">IF(U126&lt;&gt;"Closed","",(N(L126)*N(M126)+N(N126)*N(O126)+Y126*Q126)/G126)</f>
        <v/>
      </c>
      <c r="AC126" s="24" t="str">
        <f aca="false">IF(U126&lt;&gt;"Closed","",IF($B126="Short",-1,1)*((N(M126)-H126)*N(L126)+(N(O126)-H126)*N(N126)+(Q126-H126)*Y126)-N(R126))</f>
        <v/>
      </c>
      <c r="AD126" s="25" t="str">
        <f aca="false">IF(OR(AC126="",N(Z126)=0),"",AC126/Z126)</f>
        <v/>
      </c>
      <c r="AE126" s="25" t="str">
        <f aca="false">IF(OR(S126="",N(Z126)=0),"",IF($B126="Short",-1,1)*(S126-H126)*G126/Z126)</f>
        <v/>
      </c>
      <c r="AF126" s="25" t="str">
        <f aca="false">IF(OR(T126="",N(Z126)=0),"",IF($B126="Short",-1,1)*(T126-H126)*G126/Z126)</f>
        <v/>
      </c>
      <c r="AG126" s="21" t="str">
        <f aca="false">IF(U126&lt;&gt;"Open","",Y126*MAX(0,IF($B126="Short",-1,1)*(H126-IF(K126="",I126,K126))))</f>
        <v/>
      </c>
      <c r="AH126" s="26" t="str">
        <f aca="false">IF(U126&lt;&gt;"Closed","",DATE(YEAR(P126),MONTH(P126),1))</f>
        <v/>
      </c>
      <c r="AI126" s="19" t="str">
        <f aca="false">IF(U126&lt;&gt;"Closed","",COUNTIFS($U$7:$U$506,"Closed",$P$7:$P$506,"&lt;"&amp;P126)+COUNTIFS($U$7:U126,"Closed",$P$7:P126,P126))</f>
        <v/>
      </c>
    </row>
    <row r="127" customFormat="false" ht="15" hidden="false" customHeight="false" outlineLevel="0" collapsed="false">
      <c r="A127" s="13"/>
      <c r="B127" s="48"/>
      <c r="C127" s="48"/>
      <c r="D127" s="48"/>
      <c r="E127" s="15"/>
      <c r="F127" s="15"/>
      <c r="G127" s="16"/>
      <c r="H127" s="17"/>
      <c r="I127" s="17"/>
      <c r="J127" s="17"/>
      <c r="K127" s="17"/>
      <c r="L127" s="16"/>
      <c r="M127" s="17"/>
      <c r="N127" s="16"/>
      <c r="O127" s="17"/>
      <c r="P127" s="15"/>
      <c r="Q127" s="17"/>
      <c r="R127" s="17"/>
      <c r="S127" s="17"/>
      <c r="T127" s="17"/>
      <c r="U127" s="18" t="str">
        <f aca="false">IF(A127="","",IF(N(G127)-N(L127)-N(N127)&lt;0,"Check shares",IF(AND(P127&lt;&gt;"",Q127&lt;&gt;""),"Closed","Open")))</f>
        <v/>
      </c>
      <c r="V127" s="19" t="str">
        <f aca="false">IF(OR(F127="",P127=""),"",NETWORKDAYS(F127,P127,Lists!$F$5:$F$40)-1)</f>
        <v/>
      </c>
      <c r="W127" s="18" t="str">
        <f aca="false">IF(V127="","",IF(V127=0,"Same day","Overnight"))</f>
        <v/>
      </c>
      <c r="X127" s="18" t="str">
        <f aca="false">IF(OR(E127="",F127=""),"",IF(AND(E127&gt;=F127,OR(P127="",E127&lt;=P127)),"Yes","No"))</f>
        <v/>
      </c>
      <c r="Y127" s="20" t="str">
        <f aca="false">IF(A127="","",N(G127)-N(L127)-N(N127))</f>
        <v/>
      </c>
      <c r="Z127" s="21" t="str">
        <f aca="false">IF(OR(G127="",H127="",I127=""),"",ABS(H127-I127)*G127)</f>
        <v/>
      </c>
      <c r="AA127" s="22" t="str">
        <f aca="false">IF(OR(J127="",N(Z127)=0),"",ABS(J127-H127)/ABS(H127-I127))</f>
        <v/>
      </c>
      <c r="AB127" s="23" t="str">
        <f aca="false">IF(U127&lt;&gt;"Closed","",(N(L127)*N(M127)+N(N127)*N(O127)+Y127*Q127)/G127)</f>
        <v/>
      </c>
      <c r="AC127" s="24" t="str">
        <f aca="false">IF(U127&lt;&gt;"Closed","",IF($B127="Short",-1,1)*((N(M127)-H127)*N(L127)+(N(O127)-H127)*N(N127)+(Q127-H127)*Y127)-N(R127))</f>
        <v/>
      </c>
      <c r="AD127" s="25" t="str">
        <f aca="false">IF(OR(AC127="",N(Z127)=0),"",AC127/Z127)</f>
        <v/>
      </c>
      <c r="AE127" s="25" t="str">
        <f aca="false">IF(OR(S127="",N(Z127)=0),"",IF($B127="Short",-1,1)*(S127-H127)*G127/Z127)</f>
        <v/>
      </c>
      <c r="AF127" s="25" t="str">
        <f aca="false">IF(OR(T127="",N(Z127)=0),"",IF($B127="Short",-1,1)*(T127-H127)*G127/Z127)</f>
        <v/>
      </c>
      <c r="AG127" s="21" t="str">
        <f aca="false">IF(U127&lt;&gt;"Open","",Y127*MAX(0,IF($B127="Short",-1,1)*(H127-IF(K127="",I127,K127))))</f>
        <v/>
      </c>
      <c r="AH127" s="26" t="str">
        <f aca="false">IF(U127&lt;&gt;"Closed","",DATE(YEAR(P127),MONTH(P127),1))</f>
        <v/>
      </c>
      <c r="AI127" s="19" t="str">
        <f aca="false">IF(U127&lt;&gt;"Closed","",COUNTIFS($U$7:$U$506,"Closed",$P$7:$P$506,"&lt;"&amp;P127)+COUNTIFS($U$7:U127,"Closed",$P$7:P127,P127))</f>
        <v/>
      </c>
    </row>
    <row r="128" customFormat="false" ht="15" hidden="false" customHeight="false" outlineLevel="0" collapsed="false">
      <c r="A128" s="13"/>
      <c r="B128" s="48"/>
      <c r="C128" s="48"/>
      <c r="D128" s="48"/>
      <c r="E128" s="15"/>
      <c r="F128" s="15"/>
      <c r="G128" s="16"/>
      <c r="H128" s="17"/>
      <c r="I128" s="17"/>
      <c r="J128" s="17"/>
      <c r="K128" s="17"/>
      <c r="L128" s="16"/>
      <c r="M128" s="17"/>
      <c r="N128" s="16"/>
      <c r="O128" s="17"/>
      <c r="P128" s="15"/>
      <c r="Q128" s="17"/>
      <c r="R128" s="17"/>
      <c r="S128" s="17"/>
      <c r="T128" s="17"/>
      <c r="U128" s="18" t="str">
        <f aca="false">IF(A128="","",IF(N(G128)-N(L128)-N(N128)&lt;0,"Check shares",IF(AND(P128&lt;&gt;"",Q128&lt;&gt;""),"Closed","Open")))</f>
        <v/>
      </c>
      <c r="V128" s="19" t="str">
        <f aca="false">IF(OR(F128="",P128=""),"",NETWORKDAYS(F128,P128,Lists!$F$5:$F$40)-1)</f>
        <v/>
      </c>
      <c r="W128" s="18" t="str">
        <f aca="false">IF(V128="","",IF(V128=0,"Same day","Overnight"))</f>
        <v/>
      </c>
      <c r="X128" s="18" t="str">
        <f aca="false">IF(OR(E128="",F128=""),"",IF(AND(E128&gt;=F128,OR(P128="",E128&lt;=P128)),"Yes","No"))</f>
        <v/>
      </c>
      <c r="Y128" s="20" t="str">
        <f aca="false">IF(A128="","",N(G128)-N(L128)-N(N128))</f>
        <v/>
      </c>
      <c r="Z128" s="21" t="str">
        <f aca="false">IF(OR(G128="",H128="",I128=""),"",ABS(H128-I128)*G128)</f>
        <v/>
      </c>
      <c r="AA128" s="22" t="str">
        <f aca="false">IF(OR(J128="",N(Z128)=0),"",ABS(J128-H128)/ABS(H128-I128))</f>
        <v/>
      </c>
      <c r="AB128" s="23" t="str">
        <f aca="false">IF(U128&lt;&gt;"Closed","",(N(L128)*N(M128)+N(N128)*N(O128)+Y128*Q128)/G128)</f>
        <v/>
      </c>
      <c r="AC128" s="24" t="str">
        <f aca="false">IF(U128&lt;&gt;"Closed","",IF($B128="Short",-1,1)*((N(M128)-H128)*N(L128)+(N(O128)-H128)*N(N128)+(Q128-H128)*Y128)-N(R128))</f>
        <v/>
      </c>
      <c r="AD128" s="25" t="str">
        <f aca="false">IF(OR(AC128="",N(Z128)=0),"",AC128/Z128)</f>
        <v/>
      </c>
      <c r="AE128" s="25" t="str">
        <f aca="false">IF(OR(S128="",N(Z128)=0),"",IF($B128="Short",-1,1)*(S128-H128)*G128/Z128)</f>
        <v/>
      </c>
      <c r="AF128" s="25" t="str">
        <f aca="false">IF(OR(T128="",N(Z128)=0),"",IF($B128="Short",-1,1)*(T128-H128)*G128/Z128)</f>
        <v/>
      </c>
      <c r="AG128" s="21" t="str">
        <f aca="false">IF(U128&lt;&gt;"Open","",Y128*MAX(0,IF($B128="Short",-1,1)*(H128-IF(K128="",I128,K128))))</f>
        <v/>
      </c>
      <c r="AH128" s="26" t="str">
        <f aca="false">IF(U128&lt;&gt;"Closed","",DATE(YEAR(P128),MONTH(P128),1))</f>
        <v/>
      </c>
      <c r="AI128" s="19" t="str">
        <f aca="false">IF(U128&lt;&gt;"Closed","",COUNTIFS($U$7:$U$506,"Closed",$P$7:$P$506,"&lt;"&amp;P128)+COUNTIFS($U$7:U128,"Closed",$P$7:P128,P128))</f>
        <v/>
      </c>
    </row>
    <row r="129" customFormat="false" ht="15" hidden="false" customHeight="false" outlineLevel="0" collapsed="false">
      <c r="A129" s="13"/>
      <c r="B129" s="48"/>
      <c r="C129" s="48"/>
      <c r="D129" s="48"/>
      <c r="E129" s="15"/>
      <c r="F129" s="15"/>
      <c r="G129" s="16"/>
      <c r="H129" s="17"/>
      <c r="I129" s="17"/>
      <c r="J129" s="17"/>
      <c r="K129" s="17"/>
      <c r="L129" s="16"/>
      <c r="M129" s="17"/>
      <c r="N129" s="16"/>
      <c r="O129" s="17"/>
      <c r="P129" s="15"/>
      <c r="Q129" s="17"/>
      <c r="R129" s="17"/>
      <c r="S129" s="17"/>
      <c r="T129" s="17"/>
      <c r="U129" s="18" t="str">
        <f aca="false">IF(A129="","",IF(N(G129)-N(L129)-N(N129)&lt;0,"Check shares",IF(AND(P129&lt;&gt;"",Q129&lt;&gt;""),"Closed","Open")))</f>
        <v/>
      </c>
      <c r="V129" s="19" t="str">
        <f aca="false">IF(OR(F129="",P129=""),"",NETWORKDAYS(F129,P129,Lists!$F$5:$F$40)-1)</f>
        <v/>
      </c>
      <c r="W129" s="18" t="str">
        <f aca="false">IF(V129="","",IF(V129=0,"Same day","Overnight"))</f>
        <v/>
      </c>
      <c r="X129" s="18" t="str">
        <f aca="false">IF(OR(E129="",F129=""),"",IF(AND(E129&gt;=F129,OR(P129="",E129&lt;=P129)),"Yes","No"))</f>
        <v/>
      </c>
      <c r="Y129" s="20" t="str">
        <f aca="false">IF(A129="","",N(G129)-N(L129)-N(N129))</f>
        <v/>
      </c>
      <c r="Z129" s="21" t="str">
        <f aca="false">IF(OR(G129="",H129="",I129=""),"",ABS(H129-I129)*G129)</f>
        <v/>
      </c>
      <c r="AA129" s="22" t="str">
        <f aca="false">IF(OR(J129="",N(Z129)=0),"",ABS(J129-H129)/ABS(H129-I129))</f>
        <v/>
      </c>
      <c r="AB129" s="23" t="str">
        <f aca="false">IF(U129&lt;&gt;"Closed","",(N(L129)*N(M129)+N(N129)*N(O129)+Y129*Q129)/G129)</f>
        <v/>
      </c>
      <c r="AC129" s="24" t="str">
        <f aca="false">IF(U129&lt;&gt;"Closed","",IF($B129="Short",-1,1)*((N(M129)-H129)*N(L129)+(N(O129)-H129)*N(N129)+(Q129-H129)*Y129)-N(R129))</f>
        <v/>
      </c>
      <c r="AD129" s="25" t="str">
        <f aca="false">IF(OR(AC129="",N(Z129)=0),"",AC129/Z129)</f>
        <v/>
      </c>
      <c r="AE129" s="25" t="str">
        <f aca="false">IF(OR(S129="",N(Z129)=0),"",IF($B129="Short",-1,1)*(S129-H129)*G129/Z129)</f>
        <v/>
      </c>
      <c r="AF129" s="25" t="str">
        <f aca="false">IF(OR(T129="",N(Z129)=0),"",IF($B129="Short",-1,1)*(T129-H129)*G129/Z129)</f>
        <v/>
      </c>
      <c r="AG129" s="21" t="str">
        <f aca="false">IF(U129&lt;&gt;"Open","",Y129*MAX(0,IF($B129="Short",-1,1)*(H129-IF(K129="",I129,K129))))</f>
        <v/>
      </c>
      <c r="AH129" s="26" t="str">
        <f aca="false">IF(U129&lt;&gt;"Closed","",DATE(YEAR(P129),MONTH(P129),1))</f>
        <v/>
      </c>
      <c r="AI129" s="19" t="str">
        <f aca="false">IF(U129&lt;&gt;"Closed","",COUNTIFS($U$7:$U$506,"Closed",$P$7:$P$506,"&lt;"&amp;P129)+COUNTIFS($U$7:U129,"Closed",$P$7:P129,P129))</f>
        <v/>
      </c>
    </row>
    <row r="130" customFormat="false" ht="15" hidden="false" customHeight="false" outlineLevel="0" collapsed="false">
      <c r="A130" s="13"/>
      <c r="B130" s="48"/>
      <c r="C130" s="48"/>
      <c r="D130" s="48"/>
      <c r="E130" s="15"/>
      <c r="F130" s="15"/>
      <c r="G130" s="16"/>
      <c r="H130" s="17"/>
      <c r="I130" s="17"/>
      <c r="J130" s="17"/>
      <c r="K130" s="17"/>
      <c r="L130" s="16"/>
      <c r="M130" s="17"/>
      <c r="N130" s="16"/>
      <c r="O130" s="17"/>
      <c r="P130" s="15"/>
      <c r="Q130" s="17"/>
      <c r="R130" s="17"/>
      <c r="S130" s="17"/>
      <c r="T130" s="17"/>
      <c r="U130" s="18" t="str">
        <f aca="false">IF(A130="","",IF(N(G130)-N(L130)-N(N130)&lt;0,"Check shares",IF(AND(P130&lt;&gt;"",Q130&lt;&gt;""),"Closed","Open")))</f>
        <v/>
      </c>
      <c r="V130" s="19" t="str">
        <f aca="false">IF(OR(F130="",P130=""),"",NETWORKDAYS(F130,P130,Lists!$F$5:$F$40)-1)</f>
        <v/>
      </c>
      <c r="W130" s="18" t="str">
        <f aca="false">IF(V130="","",IF(V130=0,"Same day","Overnight"))</f>
        <v/>
      </c>
      <c r="X130" s="18" t="str">
        <f aca="false">IF(OR(E130="",F130=""),"",IF(AND(E130&gt;=F130,OR(P130="",E130&lt;=P130)),"Yes","No"))</f>
        <v/>
      </c>
      <c r="Y130" s="20" t="str">
        <f aca="false">IF(A130="","",N(G130)-N(L130)-N(N130))</f>
        <v/>
      </c>
      <c r="Z130" s="21" t="str">
        <f aca="false">IF(OR(G130="",H130="",I130=""),"",ABS(H130-I130)*G130)</f>
        <v/>
      </c>
      <c r="AA130" s="22" t="str">
        <f aca="false">IF(OR(J130="",N(Z130)=0),"",ABS(J130-H130)/ABS(H130-I130))</f>
        <v/>
      </c>
      <c r="AB130" s="23" t="str">
        <f aca="false">IF(U130&lt;&gt;"Closed","",(N(L130)*N(M130)+N(N130)*N(O130)+Y130*Q130)/G130)</f>
        <v/>
      </c>
      <c r="AC130" s="24" t="str">
        <f aca="false">IF(U130&lt;&gt;"Closed","",IF($B130="Short",-1,1)*((N(M130)-H130)*N(L130)+(N(O130)-H130)*N(N130)+(Q130-H130)*Y130)-N(R130))</f>
        <v/>
      </c>
      <c r="AD130" s="25" t="str">
        <f aca="false">IF(OR(AC130="",N(Z130)=0),"",AC130/Z130)</f>
        <v/>
      </c>
      <c r="AE130" s="25" t="str">
        <f aca="false">IF(OR(S130="",N(Z130)=0),"",IF($B130="Short",-1,1)*(S130-H130)*G130/Z130)</f>
        <v/>
      </c>
      <c r="AF130" s="25" t="str">
        <f aca="false">IF(OR(T130="",N(Z130)=0),"",IF($B130="Short",-1,1)*(T130-H130)*G130/Z130)</f>
        <v/>
      </c>
      <c r="AG130" s="21" t="str">
        <f aca="false">IF(U130&lt;&gt;"Open","",Y130*MAX(0,IF($B130="Short",-1,1)*(H130-IF(K130="",I130,K130))))</f>
        <v/>
      </c>
      <c r="AH130" s="26" t="str">
        <f aca="false">IF(U130&lt;&gt;"Closed","",DATE(YEAR(P130),MONTH(P130),1))</f>
        <v/>
      </c>
      <c r="AI130" s="19" t="str">
        <f aca="false">IF(U130&lt;&gt;"Closed","",COUNTIFS($U$7:$U$506,"Closed",$P$7:$P$506,"&lt;"&amp;P130)+COUNTIFS($U$7:U130,"Closed",$P$7:P130,P130))</f>
        <v/>
      </c>
    </row>
    <row r="131" customFormat="false" ht="15" hidden="false" customHeight="false" outlineLevel="0" collapsed="false">
      <c r="A131" s="13"/>
      <c r="B131" s="48"/>
      <c r="C131" s="48"/>
      <c r="D131" s="48"/>
      <c r="E131" s="15"/>
      <c r="F131" s="15"/>
      <c r="G131" s="16"/>
      <c r="H131" s="17"/>
      <c r="I131" s="17"/>
      <c r="J131" s="17"/>
      <c r="K131" s="17"/>
      <c r="L131" s="16"/>
      <c r="M131" s="17"/>
      <c r="N131" s="16"/>
      <c r="O131" s="17"/>
      <c r="P131" s="15"/>
      <c r="Q131" s="17"/>
      <c r="R131" s="17"/>
      <c r="S131" s="17"/>
      <c r="T131" s="17"/>
      <c r="U131" s="18" t="str">
        <f aca="false">IF(A131="","",IF(N(G131)-N(L131)-N(N131)&lt;0,"Check shares",IF(AND(P131&lt;&gt;"",Q131&lt;&gt;""),"Closed","Open")))</f>
        <v/>
      </c>
      <c r="V131" s="19" t="str">
        <f aca="false">IF(OR(F131="",P131=""),"",NETWORKDAYS(F131,P131,Lists!$F$5:$F$40)-1)</f>
        <v/>
      </c>
      <c r="W131" s="18" t="str">
        <f aca="false">IF(V131="","",IF(V131=0,"Same day","Overnight"))</f>
        <v/>
      </c>
      <c r="X131" s="18" t="str">
        <f aca="false">IF(OR(E131="",F131=""),"",IF(AND(E131&gt;=F131,OR(P131="",E131&lt;=P131)),"Yes","No"))</f>
        <v/>
      </c>
      <c r="Y131" s="20" t="str">
        <f aca="false">IF(A131="","",N(G131)-N(L131)-N(N131))</f>
        <v/>
      </c>
      <c r="Z131" s="21" t="str">
        <f aca="false">IF(OR(G131="",H131="",I131=""),"",ABS(H131-I131)*G131)</f>
        <v/>
      </c>
      <c r="AA131" s="22" t="str">
        <f aca="false">IF(OR(J131="",N(Z131)=0),"",ABS(J131-H131)/ABS(H131-I131))</f>
        <v/>
      </c>
      <c r="AB131" s="23" t="str">
        <f aca="false">IF(U131&lt;&gt;"Closed","",(N(L131)*N(M131)+N(N131)*N(O131)+Y131*Q131)/G131)</f>
        <v/>
      </c>
      <c r="AC131" s="24" t="str">
        <f aca="false">IF(U131&lt;&gt;"Closed","",IF($B131="Short",-1,1)*((N(M131)-H131)*N(L131)+(N(O131)-H131)*N(N131)+(Q131-H131)*Y131)-N(R131))</f>
        <v/>
      </c>
      <c r="AD131" s="25" t="str">
        <f aca="false">IF(OR(AC131="",N(Z131)=0),"",AC131/Z131)</f>
        <v/>
      </c>
      <c r="AE131" s="25" t="str">
        <f aca="false">IF(OR(S131="",N(Z131)=0),"",IF($B131="Short",-1,1)*(S131-H131)*G131/Z131)</f>
        <v/>
      </c>
      <c r="AF131" s="25" t="str">
        <f aca="false">IF(OR(T131="",N(Z131)=0),"",IF($B131="Short",-1,1)*(T131-H131)*G131/Z131)</f>
        <v/>
      </c>
      <c r="AG131" s="21" t="str">
        <f aca="false">IF(U131&lt;&gt;"Open","",Y131*MAX(0,IF($B131="Short",-1,1)*(H131-IF(K131="",I131,K131))))</f>
        <v/>
      </c>
      <c r="AH131" s="26" t="str">
        <f aca="false">IF(U131&lt;&gt;"Closed","",DATE(YEAR(P131),MONTH(P131),1))</f>
        <v/>
      </c>
      <c r="AI131" s="19" t="str">
        <f aca="false">IF(U131&lt;&gt;"Closed","",COUNTIFS($U$7:$U$506,"Closed",$P$7:$P$506,"&lt;"&amp;P131)+COUNTIFS($U$7:U131,"Closed",$P$7:P131,P131))</f>
        <v/>
      </c>
    </row>
    <row r="132" customFormat="false" ht="15" hidden="false" customHeight="false" outlineLevel="0" collapsed="false">
      <c r="A132" s="13"/>
      <c r="B132" s="48"/>
      <c r="C132" s="48"/>
      <c r="D132" s="48"/>
      <c r="E132" s="15"/>
      <c r="F132" s="15"/>
      <c r="G132" s="16"/>
      <c r="H132" s="17"/>
      <c r="I132" s="17"/>
      <c r="J132" s="17"/>
      <c r="K132" s="17"/>
      <c r="L132" s="16"/>
      <c r="M132" s="17"/>
      <c r="N132" s="16"/>
      <c r="O132" s="17"/>
      <c r="P132" s="15"/>
      <c r="Q132" s="17"/>
      <c r="R132" s="17"/>
      <c r="S132" s="17"/>
      <c r="T132" s="17"/>
      <c r="U132" s="18" t="str">
        <f aca="false">IF(A132="","",IF(N(G132)-N(L132)-N(N132)&lt;0,"Check shares",IF(AND(P132&lt;&gt;"",Q132&lt;&gt;""),"Closed","Open")))</f>
        <v/>
      </c>
      <c r="V132" s="19" t="str">
        <f aca="false">IF(OR(F132="",P132=""),"",NETWORKDAYS(F132,P132,Lists!$F$5:$F$40)-1)</f>
        <v/>
      </c>
      <c r="W132" s="18" t="str">
        <f aca="false">IF(V132="","",IF(V132=0,"Same day","Overnight"))</f>
        <v/>
      </c>
      <c r="X132" s="18" t="str">
        <f aca="false">IF(OR(E132="",F132=""),"",IF(AND(E132&gt;=F132,OR(P132="",E132&lt;=P132)),"Yes","No"))</f>
        <v/>
      </c>
      <c r="Y132" s="20" t="str">
        <f aca="false">IF(A132="","",N(G132)-N(L132)-N(N132))</f>
        <v/>
      </c>
      <c r="Z132" s="21" t="str">
        <f aca="false">IF(OR(G132="",H132="",I132=""),"",ABS(H132-I132)*G132)</f>
        <v/>
      </c>
      <c r="AA132" s="22" t="str">
        <f aca="false">IF(OR(J132="",N(Z132)=0),"",ABS(J132-H132)/ABS(H132-I132))</f>
        <v/>
      </c>
      <c r="AB132" s="23" t="str">
        <f aca="false">IF(U132&lt;&gt;"Closed","",(N(L132)*N(M132)+N(N132)*N(O132)+Y132*Q132)/G132)</f>
        <v/>
      </c>
      <c r="AC132" s="24" t="str">
        <f aca="false">IF(U132&lt;&gt;"Closed","",IF($B132="Short",-1,1)*((N(M132)-H132)*N(L132)+(N(O132)-H132)*N(N132)+(Q132-H132)*Y132)-N(R132))</f>
        <v/>
      </c>
      <c r="AD132" s="25" t="str">
        <f aca="false">IF(OR(AC132="",N(Z132)=0),"",AC132/Z132)</f>
        <v/>
      </c>
      <c r="AE132" s="25" t="str">
        <f aca="false">IF(OR(S132="",N(Z132)=0),"",IF($B132="Short",-1,1)*(S132-H132)*G132/Z132)</f>
        <v/>
      </c>
      <c r="AF132" s="25" t="str">
        <f aca="false">IF(OR(T132="",N(Z132)=0),"",IF($B132="Short",-1,1)*(T132-H132)*G132/Z132)</f>
        <v/>
      </c>
      <c r="AG132" s="21" t="str">
        <f aca="false">IF(U132&lt;&gt;"Open","",Y132*MAX(0,IF($B132="Short",-1,1)*(H132-IF(K132="",I132,K132))))</f>
        <v/>
      </c>
      <c r="AH132" s="26" t="str">
        <f aca="false">IF(U132&lt;&gt;"Closed","",DATE(YEAR(P132),MONTH(P132),1))</f>
        <v/>
      </c>
      <c r="AI132" s="19" t="str">
        <f aca="false">IF(U132&lt;&gt;"Closed","",COUNTIFS($U$7:$U$506,"Closed",$P$7:$P$506,"&lt;"&amp;P132)+COUNTIFS($U$7:U132,"Closed",$P$7:P132,P132))</f>
        <v/>
      </c>
    </row>
    <row r="133" customFormat="false" ht="15" hidden="false" customHeight="false" outlineLevel="0" collapsed="false">
      <c r="A133" s="13"/>
      <c r="B133" s="48"/>
      <c r="C133" s="48"/>
      <c r="D133" s="48"/>
      <c r="E133" s="15"/>
      <c r="F133" s="15"/>
      <c r="G133" s="16"/>
      <c r="H133" s="17"/>
      <c r="I133" s="17"/>
      <c r="J133" s="17"/>
      <c r="K133" s="17"/>
      <c r="L133" s="16"/>
      <c r="M133" s="17"/>
      <c r="N133" s="16"/>
      <c r="O133" s="17"/>
      <c r="P133" s="15"/>
      <c r="Q133" s="17"/>
      <c r="R133" s="17"/>
      <c r="S133" s="17"/>
      <c r="T133" s="17"/>
      <c r="U133" s="18" t="str">
        <f aca="false">IF(A133="","",IF(N(G133)-N(L133)-N(N133)&lt;0,"Check shares",IF(AND(P133&lt;&gt;"",Q133&lt;&gt;""),"Closed","Open")))</f>
        <v/>
      </c>
      <c r="V133" s="19" t="str">
        <f aca="false">IF(OR(F133="",P133=""),"",NETWORKDAYS(F133,P133,Lists!$F$5:$F$40)-1)</f>
        <v/>
      </c>
      <c r="W133" s="18" t="str">
        <f aca="false">IF(V133="","",IF(V133=0,"Same day","Overnight"))</f>
        <v/>
      </c>
      <c r="X133" s="18" t="str">
        <f aca="false">IF(OR(E133="",F133=""),"",IF(AND(E133&gt;=F133,OR(P133="",E133&lt;=P133)),"Yes","No"))</f>
        <v/>
      </c>
      <c r="Y133" s="20" t="str">
        <f aca="false">IF(A133="","",N(G133)-N(L133)-N(N133))</f>
        <v/>
      </c>
      <c r="Z133" s="21" t="str">
        <f aca="false">IF(OR(G133="",H133="",I133=""),"",ABS(H133-I133)*G133)</f>
        <v/>
      </c>
      <c r="AA133" s="22" t="str">
        <f aca="false">IF(OR(J133="",N(Z133)=0),"",ABS(J133-H133)/ABS(H133-I133))</f>
        <v/>
      </c>
      <c r="AB133" s="23" t="str">
        <f aca="false">IF(U133&lt;&gt;"Closed","",(N(L133)*N(M133)+N(N133)*N(O133)+Y133*Q133)/G133)</f>
        <v/>
      </c>
      <c r="AC133" s="24" t="str">
        <f aca="false">IF(U133&lt;&gt;"Closed","",IF($B133="Short",-1,1)*((N(M133)-H133)*N(L133)+(N(O133)-H133)*N(N133)+(Q133-H133)*Y133)-N(R133))</f>
        <v/>
      </c>
      <c r="AD133" s="25" t="str">
        <f aca="false">IF(OR(AC133="",N(Z133)=0),"",AC133/Z133)</f>
        <v/>
      </c>
      <c r="AE133" s="25" t="str">
        <f aca="false">IF(OR(S133="",N(Z133)=0),"",IF($B133="Short",-1,1)*(S133-H133)*G133/Z133)</f>
        <v/>
      </c>
      <c r="AF133" s="25" t="str">
        <f aca="false">IF(OR(T133="",N(Z133)=0),"",IF($B133="Short",-1,1)*(T133-H133)*G133/Z133)</f>
        <v/>
      </c>
      <c r="AG133" s="21" t="str">
        <f aca="false">IF(U133&lt;&gt;"Open","",Y133*MAX(0,IF($B133="Short",-1,1)*(H133-IF(K133="",I133,K133))))</f>
        <v/>
      </c>
      <c r="AH133" s="26" t="str">
        <f aca="false">IF(U133&lt;&gt;"Closed","",DATE(YEAR(P133),MONTH(P133),1))</f>
        <v/>
      </c>
      <c r="AI133" s="19" t="str">
        <f aca="false">IF(U133&lt;&gt;"Closed","",COUNTIFS($U$7:$U$506,"Closed",$P$7:$P$506,"&lt;"&amp;P133)+COUNTIFS($U$7:U133,"Closed",$P$7:P133,P133))</f>
        <v/>
      </c>
    </row>
    <row r="134" customFormat="false" ht="15" hidden="false" customHeight="false" outlineLevel="0" collapsed="false">
      <c r="A134" s="13"/>
      <c r="B134" s="48"/>
      <c r="C134" s="48"/>
      <c r="D134" s="48"/>
      <c r="E134" s="15"/>
      <c r="F134" s="15"/>
      <c r="G134" s="16"/>
      <c r="H134" s="17"/>
      <c r="I134" s="17"/>
      <c r="J134" s="17"/>
      <c r="K134" s="17"/>
      <c r="L134" s="16"/>
      <c r="M134" s="17"/>
      <c r="N134" s="16"/>
      <c r="O134" s="17"/>
      <c r="P134" s="15"/>
      <c r="Q134" s="17"/>
      <c r="R134" s="17"/>
      <c r="S134" s="17"/>
      <c r="T134" s="17"/>
      <c r="U134" s="18" t="str">
        <f aca="false">IF(A134="","",IF(N(G134)-N(L134)-N(N134)&lt;0,"Check shares",IF(AND(P134&lt;&gt;"",Q134&lt;&gt;""),"Closed","Open")))</f>
        <v/>
      </c>
      <c r="V134" s="19" t="str">
        <f aca="false">IF(OR(F134="",P134=""),"",NETWORKDAYS(F134,P134,Lists!$F$5:$F$40)-1)</f>
        <v/>
      </c>
      <c r="W134" s="18" t="str">
        <f aca="false">IF(V134="","",IF(V134=0,"Same day","Overnight"))</f>
        <v/>
      </c>
      <c r="X134" s="18" t="str">
        <f aca="false">IF(OR(E134="",F134=""),"",IF(AND(E134&gt;=F134,OR(P134="",E134&lt;=P134)),"Yes","No"))</f>
        <v/>
      </c>
      <c r="Y134" s="20" t="str">
        <f aca="false">IF(A134="","",N(G134)-N(L134)-N(N134))</f>
        <v/>
      </c>
      <c r="Z134" s="21" t="str">
        <f aca="false">IF(OR(G134="",H134="",I134=""),"",ABS(H134-I134)*G134)</f>
        <v/>
      </c>
      <c r="AA134" s="22" t="str">
        <f aca="false">IF(OR(J134="",N(Z134)=0),"",ABS(J134-H134)/ABS(H134-I134))</f>
        <v/>
      </c>
      <c r="AB134" s="23" t="str">
        <f aca="false">IF(U134&lt;&gt;"Closed","",(N(L134)*N(M134)+N(N134)*N(O134)+Y134*Q134)/G134)</f>
        <v/>
      </c>
      <c r="AC134" s="24" t="str">
        <f aca="false">IF(U134&lt;&gt;"Closed","",IF($B134="Short",-1,1)*((N(M134)-H134)*N(L134)+(N(O134)-H134)*N(N134)+(Q134-H134)*Y134)-N(R134))</f>
        <v/>
      </c>
      <c r="AD134" s="25" t="str">
        <f aca="false">IF(OR(AC134="",N(Z134)=0),"",AC134/Z134)</f>
        <v/>
      </c>
      <c r="AE134" s="25" t="str">
        <f aca="false">IF(OR(S134="",N(Z134)=0),"",IF($B134="Short",-1,1)*(S134-H134)*G134/Z134)</f>
        <v/>
      </c>
      <c r="AF134" s="25" t="str">
        <f aca="false">IF(OR(T134="",N(Z134)=0),"",IF($B134="Short",-1,1)*(T134-H134)*G134/Z134)</f>
        <v/>
      </c>
      <c r="AG134" s="21" t="str">
        <f aca="false">IF(U134&lt;&gt;"Open","",Y134*MAX(0,IF($B134="Short",-1,1)*(H134-IF(K134="",I134,K134))))</f>
        <v/>
      </c>
      <c r="AH134" s="26" t="str">
        <f aca="false">IF(U134&lt;&gt;"Closed","",DATE(YEAR(P134),MONTH(P134),1))</f>
        <v/>
      </c>
      <c r="AI134" s="19" t="str">
        <f aca="false">IF(U134&lt;&gt;"Closed","",COUNTIFS($U$7:$U$506,"Closed",$P$7:$P$506,"&lt;"&amp;P134)+COUNTIFS($U$7:U134,"Closed",$P$7:P134,P134))</f>
        <v/>
      </c>
    </row>
    <row r="135" customFormat="false" ht="15" hidden="false" customHeight="false" outlineLevel="0" collapsed="false">
      <c r="A135" s="13"/>
      <c r="B135" s="48"/>
      <c r="C135" s="48"/>
      <c r="D135" s="48"/>
      <c r="E135" s="15"/>
      <c r="F135" s="15"/>
      <c r="G135" s="16"/>
      <c r="H135" s="17"/>
      <c r="I135" s="17"/>
      <c r="J135" s="17"/>
      <c r="K135" s="17"/>
      <c r="L135" s="16"/>
      <c r="M135" s="17"/>
      <c r="N135" s="16"/>
      <c r="O135" s="17"/>
      <c r="P135" s="15"/>
      <c r="Q135" s="17"/>
      <c r="R135" s="17"/>
      <c r="S135" s="17"/>
      <c r="T135" s="17"/>
      <c r="U135" s="18" t="str">
        <f aca="false">IF(A135="","",IF(N(G135)-N(L135)-N(N135)&lt;0,"Check shares",IF(AND(P135&lt;&gt;"",Q135&lt;&gt;""),"Closed","Open")))</f>
        <v/>
      </c>
      <c r="V135" s="19" t="str">
        <f aca="false">IF(OR(F135="",P135=""),"",NETWORKDAYS(F135,P135,Lists!$F$5:$F$40)-1)</f>
        <v/>
      </c>
      <c r="W135" s="18" t="str">
        <f aca="false">IF(V135="","",IF(V135=0,"Same day","Overnight"))</f>
        <v/>
      </c>
      <c r="X135" s="18" t="str">
        <f aca="false">IF(OR(E135="",F135=""),"",IF(AND(E135&gt;=F135,OR(P135="",E135&lt;=P135)),"Yes","No"))</f>
        <v/>
      </c>
      <c r="Y135" s="20" t="str">
        <f aca="false">IF(A135="","",N(G135)-N(L135)-N(N135))</f>
        <v/>
      </c>
      <c r="Z135" s="21" t="str">
        <f aca="false">IF(OR(G135="",H135="",I135=""),"",ABS(H135-I135)*G135)</f>
        <v/>
      </c>
      <c r="AA135" s="22" t="str">
        <f aca="false">IF(OR(J135="",N(Z135)=0),"",ABS(J135-H135)/ABS(H135-I135))</f>
        <v/>
      </c>
      <c r="AB135" s="23" t="str">
        <f aca="false">IF(U135&lt;&gt;"Closed","",(N(L135)*N(M135)+N(N135)*N(O135)+Y135*Q135)/G135)</f>
        <v/>
      </c>
      <c r="AC135" s="24" t="str">
        <f aca="false">IF(U135&lt;&gt;"Closed","",IF($B135="Short",-1,1)*((N(M135)-H135)*N(L135)+(N(O135)-H135)*N(N135)+(Q135-H135)*Y135)-N(R135))</f>
        <v/>
      </c>
      <c r="AD135" s="25" t="str">
        <f aca="false">IF(OR(AC135="",N(Z135)=0),"",AC135/Z135)</f>
        <v/>
      </c>
      <c r="AE135" s="25" t="str">
        <f aca="false">IF(OR(S135="",N(Z135)=0),"",IF($B135="Short",-1,1)*(S135-H135)*G135/Z135)</f>
        <v/>
      </c>
      <c r="AF135" s="25" t="str">
        <f aca="false">IF(OR(T135="",N(Z135)=0),"",IF($B135="Short",-1,1)*(T135-H135)*G135/Z135)</f>
        <v/>
      </c>
      <c r="AG135" s="21" t="str">
        <f aca="false">IF(U135&lt;&gt;"Open","",Y135*MAX(0,IF($B135="Short",-1,1)*(H135-IF(K135="",I135,K135))))</f>
        <v/>
      </c>
      <c r="AH135" s="26" t="str">
        <f aca="false">IF(U135&lt;&gt;"Closed","",DATE(YEAR(P135),MONTH(P135),1))</f>
        <v/>
      </c>
      <c r="AI135" s="19" t="str">
        <f aca="false">IF(U135&lt;&gt;"Closed","",COUNTIFS($U$7:$U$506,"Closed",$P$7:$P$506,"&lt;"&amp;P135)+COUNTIFS($U$7:U135,"Closed",$P$7:P135,P135))</f>
        <v/>
      </c>
    </row>
    <row r="136" customFormat="false" ht="15" hidden="false" customHeight="false" outlineLevel="0" collapsed="false">
      <c r="A136" s="13"/>
      <c r="B136" s="48"/>
      <c r="C136" s="48"/>
      <c r="D136" s="48"/>
      <c r="E136" s="15"/>
      <c r="F136" s="15"/>
      <c r="G136" s="16"/>
      <c r="H136" s="17"/>
      <c r="I136" s="17"/>
      <c r="J136" s="17"/>
      <c r="K136" s="17"/>
      <c r="L136" s="16"/>
      <c r="M136" s="17"/>
      <c r="N136" s="16"/>
      <c r="O136" s="17"/>
      <c r="P136" s="15"/>
      <c r="Q136" s="17"/>
      <c r="R136" s="17"/>
      <c r="S136" s="17"/>
      <c r="T136" s="17"/>
      <c r="U136" s="18" t="str">
        <f aca="false">IF(A136="","",IF(N(G136)-N(L136)-N(N136)&lt;0,"Check shares",IF(AND(P136&lt;&gt;"",Q136&lt;&gt;""),"Closed","Open")))</f>
        <v/>
      </c>
      <c r="V136" s="19" t="str">
        <f aca="false">IF(OR(F136="",P136=""),"",NETWORKDAYS(F136,P136,Lists!$F$5:$F$40)-1)</f>
        <v/>
      </c>
      <c r="W136" s="18" t="str">
        <f aca="false">IF(V136="","",IF(V136=0,"Same day","Overnight"))</f>
        <v/>
      </c>
      <c r="X136" s="18" t="str">
        <f aca="false">IF(OR(E136="",F136=""),"",IF(AND(E136&gt;=F136,OR(P136="",E136&lt;=P136)),"Yes","No"))</f>
        <v/>
      </c>
      <c r="Y136" s="20" t="str">
        <f aca="false">IF(A136="","",N(G136)-N(L136)-N(N136))</f>
        <v/>
      </c>
      <c r="Z136" s="21" t="str">
        <f aca="false">IF(OR(G136="",H136="",I136=""),"",ABS(H136-I136)*G136)</f>
        <v/>
      </c>
      <c r="AA136" s="22" t="str">
        <f aca="false">IF(OR(J136="",N(Z136)=0),"",ABS(J136-H136)/ABS(H136-I136))</f>
        <v/>
      </c>
      <c r="AB136" s="23" t="str">
        <f aca="false">IF(U136&lt;&gt;"Closed","",(N(L136)*N(M136)+N(N136)*N(O136)+Y136*Q136)/G136)</f>
        <v/>
      </c>
      <c r="AC136" s="24" t="str">
        <f aca="false">IF(U136&lt;&gt;"Closed","",IF($B136="Short",-1,1)*((N(M136)-H136)*N(L136)+(N(O136)-H136)*N(N136)+(Q136-H136)*Y136)-N(R136))</f>
        <v/>
      </c>
      <c r="AD136" s="25" t="str">
        <f aca="false">IF(OR(AC136="",N(Z136)=0),"",AC136/Z136)</f>
        <v/>
      </c>
      <c r="AE136" s="25" t="str">
        <f aca="false">IF(OR(S136="",N(Z136)=0),"",IF($B136="Short",-1,1)*(S136-H136)*G136/Z136)</f>
        <v/>
      </c>
      <c r="AF136" s="25" t="str">
        <f aca="false">IF(OR(T136="",N(Z136)=0),"",IF($B136="Short",-1,1)*(T136-H136)*G136/Z136)</f>
        <v/>
      </c>
      <c r="AG136" s="21" t="str">
        <f aca="false">IF(U136&lt;&gt;"Open","",Y136*MAX(0,IF($B136="Short",-1,1)*(H136-IF(K136="",I136,K136))))</f>
        <v/>
      </c>
      <c r="AH136" s="26" t="str">
        <f aca="false">IF(U136&lt;&gt;"Closed","",DATE(YEAR(P136),MONTH(P136),1))</f>
        <v/>
      </c>
      <c r="AI136" s="19" t="str">
        <f aca="false">IF(U136&lt;&gt;"Closed","",COUNTIFS($U$7:$U$506,"Closed",$P$7:$P$506,"&lt;"&amp;P136)+COUNTIFS($U$7:U136,"Closed",$P$7:P136,P136))</f>
        <v/>
      </c>
    </row>
    <row r="137" customFormat="false" ht="15" hidden="false" customHeight="false" outlineLevel="0" collapsed="false">
      <c r="A137" s="13"/>
      <c r="B137" s="48"/>
      <c r="C137" s="48"/>
      <c r="D137" s="48"/>
      <c r="E137" s="15"/>
      <c r="F137" s="15"/>
      <c r="G137" s="16"/>
      <c r="H137" s="17"/>
      <c r="I137" s="17"/>
      <c r="J137" s="17"/>
      <c r="K137" s="17"/>
      <c r="L137" s="16"/>
      <c r="M137" s="17"/>
      <c r="N137" s="16"/>
      <c r="O137" s="17"/>
      <c r="P137" s="15"/>
      <c r="Q137" s="17"/>
      <c r="R137" s="17"/>
      <c r="S137" s="17"/>
      <c r="T137" s="17"/>
      <c r="U137" s="18" t="str">
        <f aca="false">IF(A137="","",IF(N(G137)-N(L137)-N(N137)&lt;0,"Check shares",IF(AND(P137&lt;&gt;"",Q137&lt;&gt;""),"Closed","Open")))</f>
        <v/>
      </c>
      <c r="V137" s="19" t="str">
        <f aca="false">IF(OR(F137="",P137=""),"",NETWORKDAYS(F137,P137,Lists!$F$5:$F$40)-1)</f>
        <v/>
      </c>
      <c r="W137" s="18" t="str">
        <f aca="false">IF(V137="","",IF(V137=0,"Same day","Overnight"))</f>
        <v/>
      </c>
      <c r="X137" s="18" t="str">
        <f aca="false">IF(OR(E137="",F137=""),"",IF(AND(E137&gt;=F137,OR(P137="",E137&lt;=P137)),"Yes","No"))</f>
        <v/>
      </c>
      <c r="Y137" s="20" t="str">
        <f aca="false">IF(A137="","",N(G137)-N(L137)-N(N137))</f>
        <v/>
      </c>
      <c r="Z137" s="21" t="str">
        <f aca="false">IF(OR(G137="",H137="",I137=""),"",ABS(H137-I137)*G137)</f>
        <v/>
      </c>
      <c r="AA137" s="22" t="str">
        <f aca="false">IF(OR(J137="",N(Z137)=0),"",ABS(J137-H137)/ABS(H137-I137))</f>
        <v/>
      </c>
      <c r="AB137" s="23" t="str">
        <f aca="false">IF(U137&lt;&gt;"Closed","",(N(L137)*N(M137)+N(N137)*N(O137)+Y137*Q137)/G137)</f>
        <v/>
      </c>
      <c r="AC137" s="24" t="str">
        <f aca="false">IF(U137&lt;&gt;"Closed","",IF($B137="Short",-1,1)*((N(M137)-H137)*N(L137)+(N(O137)-H137)*N(N137)+(Q137-H137)*Y137)-N(R137))</f>
        <v/>
      </c>
      <c r="AD137" s="25" t="str">
        <f aca="false">IF(OR(AC137="",N(Z137)=0),"",AC137/Z137)</f>
        <v/>
      </c>
      <c r="AE137" s="25" t="str">
        <f aca="false">IF(OR(S137="",N(Z137)=0),"",IF($B137="Short",-1,1)*(S137-H137)*G137/Z137)</f>
        <v/>
      </c>
      <c r="AF137" s="25" t="str">
        <f aca="false">IF(OR(T137="",N(Z137)=0),"",IF($B137="Short",-1,1)*(T137-H137)*G137/Z137)</f>
        <v/>
      </c>
      <c r="AG137" s="21" t="str">
        <f aca="false">IF(U137&lt;&gt;"Open","",Y137*MAX(0,IF($B137="Short",-1,1)*(H137-IF(K137="",I137,K137))))</f>
        <v/>
      </c>
      <c r="AH137" s="26" t="str">
        <f aca="false">IF(U137&lt;&gt;"Closed","",DATE(YEAR(P137),MONTH(P137),1))</f>
        <v/>
      </c>
      <c r="AI137" s="19" t="str">
        <f aca="false">IF(U137&lt;&gt;"Closed","",COUNTIFS($U$7:$U$506,"Closed",$P$7:$P$506,"&lt;"&amp;P137)+COUNTIFS($U$7:U137,"Closed",$P$7:P137,P137))</f>
        <v/>
      </c>
    </row>
    <row r="138" customFormat="false" ht="15" hidden="false" customHeight="false" outlineLevel="0" collapsed="false">
      <c r="A138" s="13"/>
      <c r="B138" s="48"/>
      <c r="C138" s="48"/>
      <c r="D138" s="48"/>
      <c r="E138" s="15"/>
      <c r="F138" s="15"/>
      <c r="G138" s="16"/>
      <c r="H138" s="17"/>
      <c r="I138" s="17"/>
      <c r="J138" s="17"/>
      <c r="K138" s="17"/>
      <c r="L138" s="16"/>
      <c r="M138" s="17"/>
      <c r="N138" s="16"/>
      <c r="O138" s="17"/>
      <c r="P138" s="15"/>
      <c r="Q138" s="17"/>
      <c r="R138" s="17"/>
      <c r="S138" s="17"/>
      <c r="T138" s="17"/>
      <c r="U138" s="18" t="str">
        <f aca="false">IF(A138="","",IF(N(G138)-N(L138)-N(N138)&lt;0,"Check shares",IF(AND(P138&lt;&gt;"",Q138&lt;&gt;""),"Closed","Open")))</f>
        <v/>
      </c>
      <c r="V138" s="19" t="str">
        <f aca="false">IF(OR(F138="",P138=""),"",NETWORKDAYS(F138,P138,Lists!$F$5:$F$40)-1)</f>
        <v/>
      </c>
      <c r="W138" s="18" t="str">
        <f aca="false">IF(V138="","",IF(V138=0,"Same day","Overnight"))</f>
        <v/>
      </c>
      <c r="X138" s="18" t="str">
        <f aca="false">IF(OR(E138="",F138=""),"",IF(AND(E138&gt;=F138,OR(P138="",E138&lt;=P138)),"Yes","No"))</f>
        <v/>
      </c>
      <c r="Y138" s="20" t="str">
        <f aca="false">IF(A138="","",N(G138)-N(L138)-N(N138))</f>
        <v/>
      </c>
      <c r="Z138" s="21" t="str">
        <f aca="false">IF(OR(G138="",H138="",I138=""),"",ABS(H138-I138)*G138)</f>
        <v/>
      </c>
      <c r="AA138" s="22" t="str">
        <f aca="false">IF(OR(J138="",N(Z138)=0),"",ABS(J138-H138)/ABS(H138-I138))</f>
        <v/>
      </c>
      <c r="AB138" s="23" t="str">
        <f aca="false">IF(U138&lt;&gt;"Closed","",(N(L138)*N(M138)+N(N138)*N(O138)+Y138*Q138)/G138)</f>
        <v/>
      </c>
      <c r="AC138" s="24" t="str">
        <f aca="false">IF(U138&lt;&gt;"Closed","",IF($B138="Short",-1,1)*((N(M138)-H138)*N(L138)+(N(O138)-H138)*N(N138)+(Q138-H138)*Y138)-N(R138))</f>
        <v/>
      </c>
      <c r="AD138" s="25" t="str">
        <f aca="false">IF(OR(AC138="",N(Z138)=0),"",AC138/Z138)</f>
        <v/>
      </c>
      <c r="AE138" s="25" t="str">
        <f aca="false">IF(OR(S138="",N(Z138)=0),"",IF($B138="Short",-1,1)*(S138-H138)*G138/Z138)</f>
        <v/>
      </c>
      <c r="AF138" s="25" t="str">
        <f aca="false">IF(OR(T138="",N(Z138)=0),"",IF($B138="Short",-1,1)*(T138-H138)*G138/Z138)</f>
        <v/>
      </c>
      <c r="AG138" s="21" t="str">
        <f aca="false">IF(U138&lt;&gt;"Open","",Y138*MAX(0,IF($B138="Short",-1,1)*(H138-IF(K138="",I138,K138))))</f>
        <v/>
      </c>
      <c r="AH138" s="26" t="str">
        <f aca="false">IF(U138&lt;&gt;"Closed","",DATE(YEAR(P138),MONTH(P138),1))</f>
        <v/>
      </c>
      <c r="AI138" s="19" t="str">
        <f aca="false">IF(U138&lt;&gt;"Closed","",COUNTIFS($U$7:$U$506,"Closed",$P$7:$P$506,"&lt;"&amp;P138)+COUNTIFS($U$7:U138,"Closed",$P$7:P138,P138))</f>
        <v/>
      </c>
    </row>
    <row r="139" customFormat="false" ht="15" hidden="false" customHeight="false" outlineLevel="0" collapsed="false">
      <c r="A139" s="13"/>
      <c r="B139" s="48"/>
      <c r="C139" s="48"/>
      <c r="D139" s="48"/>
      <c r="E139" s="15"/>
      <c r="F139" s="15"/>
      <c r="G139" s="16"/>
      <c r="H139" s="17"/>
      <c r="I139" s="17"/>
      <c r="J139" s="17"/>
      <c r="K139" s="17"/>
      <c r="L139" s="16"/>
      <c r="M139" s="17"/>
      <c r="N139" s="16"/>
      <c r="O139" s="17"/>
      <c r="P139" s="15"/>
      <c r="Q139" s="17"/>
      <c r="R139" s="17"/>
      <c r="S139" s="17"/>
      <c r="T139" s="17"/>
      <c r="U139" s="18" t="str">
        <f aca="false">IF(A139="","",IF(N(G139)-N(L139)-N(N139)&lt;0,"Check shares",IF(AND(P139&lt;&gt;"",Q139&lt;&gt;""),"Closed","Open")))</f>
        <v/>
      </c>
      <c r="V139" s="19" t="str">
        <f aca="false">IF(OR(F139="",P139=""),"",NETWORKDAYS(F139,P139,Lists!$F$5:$F$40)-1)</f>
        <v/>
      </c>
      <c r="W139" s="18" t="str">
        <f aca="false">IF(V139="","",IF(V139=0,"Same day","Overnight"))</f>
        <v/>
      </c>
      <c r="X139" s="18" t="str">
        <f aca="false">IF(OR(E139="",F139=""),"",IF(AND(E139&gt;=F139,OR(P139="",E139&lt;=P139)),"Yes","No"))</f>
        <v/>
      </c>
      <c r="Y139" s="20" t="str">
        <f aca="false">IF(A139="","",N(G139)-N(L139)-N(N139))</f>
        <v/>
      </c>
      <c r="Z139" s="21" t="str">
        <f aca="false">IF(OR(G139="",H139="",I139=""),"",ABS(H139-I139)*G139)</f>
        <v/>
      </c>
      <c r="AA139" s="22" t="str">
        <f aca="false">IF(OR(J139="",N(Z139)=0),"",ABS(J139-H139)/ABS(H139-I139))</f>
        <v/>
      </c>
      <c r="AB139" s="23" t="str">
        <f aca="false">IF(U139&lt;&gt;"Closed","",(N(L139)*N(M139)+N(N139)*N(O139)+Y139*Q139)/G139)</f>
        <v/>
      </c>
      <c r="AC139" s="24" t="str">
        <f aca="false">IF(U139&lt;&gt;"Closed","",IF($B139="Short",-1,1)*((N(M139)-H139)*N(L139)+(N(O139)-H139)*N(N139)+(Q139-H139)*Y139)-N(R139))</f>
        <v/>
      </c>
      <c r="AD139" s="25" t="str">
        <f aca="false">IF(OR(AC139="",N(Z139)=0),"",AC139/Z139)</f>
        <v/>
      </c>
      <c r="AE139" s="25" t="str">
        <f aca="false">IF(OR(S139="",N(Z139)=0),"",IF($B139="Short",-1,1)*(S139-H139)*G139/Z139)</f>
        <v/>
      </c>
      <c r="AF139" s="25" t="str">
        <f aca="false">IF(OR(T139="",N(Z139)=0),"",IF($B139="Short",-1,1)*(T139-H139)*G139/Z139)</f>
        <v/>
      </c>
      <c r="AG139" s="21" t="str">
        <f aca="false">IF(U139&lt;&gt;"Open","",Y139*MAX(0,IF($B139="Short",-1,1)*(H139-IF(K139="",I139,K139))))</f>
        <v/>
      </c>
      <c r="AH139" s="26" t="str">
        <f aca="false">IF(U139&lt;&gt;"Closed","",DATE(YEAR(P139),MONTH(P139),1))</f>
        <v/>
      </c>
      <c r="AI139" s="19" t="str">
        <f aca="false">IF(U139&lt;&gt;"Closed","",COUNTIFS($U$7:$U$506,"Closed",$P$7:$P$506,"&lt;"&amp;P139)+COUNTIFS($U$7:U139,"Closed",$P$7:P139,P139))</f>
        <v/>
      </c>
    </row>
    <row r="140" customFormat="false" ht="15" hidden="false" customHeight="false" outlineLevel="0" collapsed="false">
      <c r="A140" s="13"/>
      <c r="B140" s="48"/>
      <c r="C140" s="48"/>
      <c r="D140" s="48"/>
      <c r="E140" s="15"/>
      <c r="F140" s="15"/>
      <c r="G140" s="16"/>
      <c r="H140" s="17"/>
      <c r="I140" s="17"/>
      <c r="J140" s="17"/>
      <c r="K140" s="17"/>
      <c r="L140" s="16"/>
      <c r="M140" s="17"/>
      <c r="N140" s="16"/>
      <c r="O140" s="17"/>
      <c r="P140" s="15"/>
      <c r="Q140" s="17"/>
      <c r="R140" s="17"/>
      <c r="S140" s="17"/>
      <c r="T140" s="17"/>
      <c r="U140" s="18" t="str">
        <f aca="false">IF(A140="","",IF(N(G140)-N(L140)-N(N140)&lt;0,"Check shares",IF(AND(P140&lt;&gt;"",Q140&lt;&gt;""),"Closed","Open")))</f>
        <v/>
      </c>
      <c r="V140" s="19" t="str">
        <f aca="false">IF(OR(F140="",P140=""),"",NETWORKDAYS(F140,P140,Lists!$F$5:$F$40)-1)</f>
        <v/>
      </c>
      <c r="W140" s="18" t="str">
        <f aca="false">IF(V140="","",IF(V140=0,"Same day","Overnight"))</f>
        <v/>
      </c>
      <c r="X140" s="18" t="str">
        <f aca="false">IF(OR(E140="",F140=""),"",IF(AND(E140&gt;=F140,OR(P140="",E140&lt;=P140)),"Yes","No"))</f>
        <v/>
      </c>
      <c r="Y140" s="20" t="str">
        <f aca="false">IF(A140="","",N(G140)-N(L140)-N(N140))</f>
        <v/>
      </c>
      <c r="Z140" s="21" t="str">
        <f aca="false">IF(OR(G140="",H140="",I140=""),"",ABS(H140-I140)*G140)</f>
        <v/>
      </c>
      <c r="AA140" s="22" t="str">
        <f aca="false">IF(OR(J140="",N(Z140)=0),"",ABS(J140-H140)/ABS(H140-I140))</f>
        <v/>
      </c>
      <c r="AB140" s="23" t="str">
        <f aca="false">IF(U140&lt;&gt;"Closed","",(N(L140)*N(M140)+N(N140)*N(O140)+Y140*Q140)/G140)</f>
        <v/>
      </c>
      <c r="AC140" s="24" t="str">
        <f aca="false">IF(U140&lt;&gt;"Closed","",IF($B140="Short",-1,1)*((N(M140)-H140)*N(L140)+(N(O140)-H140)*N(N140)+(Q140-H140)*Y140)-N(R140))</f>
        <v/>
      </c>
      <c r="AD140" s="25" t="str">
        <f aca="false">IF(OR(AC140="",N(Z140)=0),"",AC140/Z140)</f>
        <v/>
      </c>
      <c r="AE140" s="25" t="str">
        <f aca="false">IF(OR(S140="",N(Z140)=0),"",IF($B140="Short",-1,1)*(S140-H140)*G140/Z140)</f>
        <v/>
      </c>
      <c r="AF140" s="25" t="str">
        <f aca="false">IF(OR(T140="",N(Z140)=0),"",IF($B140="Short",-1,1)*(T140-H140)*G140/Z140)</f>
        <v/>
      </c>
      <c r="AG140" s="21" t="str">
        <f aca="false">IF(U140&lt;&gt;"Open","",Y140*MAX(0,IF($B140="Short",-1,1)*(H140-IF(K140="",I140,K140))))</f>
        <v/>
      </c>
      <c r="AH140" s="26" t="str">
        <f aca="false">IF(U140&lt;&gt;"Closed","",DATE(YEAR(P140),MONTH(P140),1))</f>
        <v/>
      </c>
      <c r="AI140" s="19" t="str">
        <f aca="false">IF(U140&lt;&gt;"Closed","",COUNTIFS($U$7:$U$506,"Closed",$P$7:$P$506,"&lt;"&amp;P140)+COUNTIFS($U$7:U140,"Closed",$P$7:P140,P140))</f>
        <v/>
      </c>
    </row>
    <row r="141" customFormat="false" ht="15" hidden="false" customHeight="false" outlineLevel="0" collapsed="false">
      <c r="A141" s="13"/>
      <c r="B141" s="48"/>
      <c r="C141" s="48"/>
      <c r="D141" s="48"/>
      <c r="E141" s="15"/>
      <c r="F141" s="15"/>
      <c r="G141" s="16"/>
      <c r="H141" s="17"/>
      <c r="I141" s="17"/>
      <c r="J141" s="17"/>
      <c r="K141" s="17"/>
      <c r="L141" s="16"/>
      <c r="M141" s="17"/>
      <c r="N141" s="16"/>
      <c r="O141" s="17"/>
      <c r="P141" s="15"/>
      <c r="Q141" s="17"/>
      <c r="R141" s="17"/>
      <c r="S141" s="17"/>
      <c r="T141" s="17"/>
      <c r="U141" s="18" t="str">
        <f aca="false">IF(A141="","",IF(N(G141)-N(L141)-N(N141)&lt;0,"Check shares",IF(AND(P141&lt;&gt;"",Q141&lt;&gt;""),"Closed","Open")))</f>
        <v/>
      </c>
      <c r="V141" s="19" t="str">
        <f aca="false">IF(OR(F141="",P141=""),"",NETWORKDAYS(F141,P141,Lists!$F$5:$F$40)-1)</f>
        <v/>
      </c>
      <c r="W141" s="18" t="str">
        <f aca="false">IF(V141="","",IF(V141=0,"Same day","Overnight"))</f>
        <v/>
      </c>
      <c r="X141" s="18" t="str">
        <f aca="false">IF(OR(E141="",F141=""),"",IF(AND(E141&gt;=F141,OR(P141="",E141&lt;=P141)),"Yes","No"))</f>
        <v/>
      </c>
      <c r="Y141" s="20" t="str">
        <f aca="false">IF(A141="","",N(G141)-N(L141)-N(N141))</f>
        <v/>
      </c>
      <c r="Z141" s="21" t="str">
        <f aca="false">IF(OR(G141="",H141="",I141=""),"",ABS(H141-I141)*G141)</f>
        <v/>
      </c>
      <c r="AA141" s="22" t="str">
        <f aca="false">IF(OR(J141="",N(Z141)=0),"",ABS(J141-H141)/ABS(H141-I141))</f>
        <v/>
      </c>
      <c r="AB141" s="23" t="str">
        <f aca="false">IF(U141&lt;&gt;"Closed","",(N(L141)*N(M141)+N(N141)*N(O141)+Y141*Q141)/G141)</f>
        <v/>
      </c>
      <c r="AC141" s="24" t="str">
        <f aca="false">IF(U141&lt;&gt;"Closed","",IF($B141="Short",-1,1)*((N(M141)-H141)*N(L141)+(N(O141)-H141)*N(N141)+(Q141-H141)*Y141)-N(R141))</f>
        <v/>
      </c>
      <c r="AD141" s="25" t="str">
        <f aca="false">IF(OR(AC141="",N(Z141)=0),"",AC141/Z141)</f>
        <v/>
      </c>
      <c r="AE141" s="25" t="str">
        <f aca="false">IF(OR(S141="",N(Z141)=0),"",IF($B141="Short",-1,1)*(S141-H141)*G141/Z141)</f>
        <v/>
      </c>
      <c r="AF141" s="25" t="str">
        <f aca="false">IF(OR(T141="",N(Z141)=0),"",IF($B141="Short",-1,1)*(T141-H141)*G141/Z141)</f>
        <v/>
      </c>
      <c r="AG141" s="21" t="str">
        <f aca="false">IF(U141&lt;&gt;"Open","",Y141*MAX(0,IF($B141="Short",-1,1)*(H141-IF(K141="",I141,K141))))</f>
        <v/>
      </c>
      <c r="AH141" s="26" t="str">
        <f aca="false">IF(U141&lt;&gt;"Closed","",DATE(YEAR(P141),MONTH(P141),1))</f>
        <v/>
      </c>
      <c r="AI141" s="19" t="str">
        <f aca="false">IF(U141&lt;&gt;"Closed","",COUNTIFS($U$7:$U$506,"Closed",$P$7:$P$506,"&lt;"&amp;P141)+COUNTIFS($U$7:U141,"Closed",$P$7:P141,P141))</f>
        <v/>
      </c>
    </row>
    <row r="142" customFormat="false" ht="15" hidden="false" customHeight="false" outlineLevel="0" collapsed="false">
      <c r="A142" s="13"/>
      <c r="B142" s="48"/>
      <c r="C142" s="48"/>
      <c r="D142" s="48"/>
      <c r="E142" s="15"/>
      <c r="F142" s="15"/>
      <c r="G142" s="16"/>
      <c r="H142" s="17"/>
      <c r="I142" s="17"/>
      <c r="J142" s="17"/>
      <c r="K142" s="17"/>
      <c r="L142" s="16"/>
      <c r="M142" s="17"/>
      <c r="N142" s="16"/>
      <c r="O142" s="17"/>
      <c r="P142" s="15"/>
      <c r="Q142" s="17"/>
      <c r="R142" s="17"/>
      <c r="S142" s="17"/>
      <c r="T142" s="17"/>
      <c r="U142" s="18" t="str">
        <f aca="false">IF(A142="","",IF(N(G142)-N(L142)-N(N142)&lt;0,"Check shares",IF(AND(P142&lt;&gt;"",Q142&lt;&gt;""),"Closed","Open")))</f>
        <v/>
      </c>
      <c r="V142" s="19" t="str">
        <f aca="false">IF(OR(F142="",P142=""),"",NETWORKDAYS(F142,P142,Lists!$F$5:$F$40)-1)</f>
        <v/>
      </c>
      <c r="W142" s="18" t="str">
        <f aca="false">IF(V142="","",IF(V142=0,"Same day","Overnight"))</f>
        <v/>
      </c>
      <c r="X142" s="18" t="str">
        <f aca="false">IF(OR(E142="",F142=""),"",IF(AND(E142&gt;=F142,OR(P142="",E142&lt;=P142)),"Yes","No"))</f>
        <v/>
      </c>
      <c r="Y142" s="20" t="str">
        <f aca="false">IF(A142="","",N(G142)-N(L142)-N(N142))</f>
        <v/>
      </c>
      <c r="Z142" s="21" t="str">
        <f aca="false">IF(OR(G142="",H142="",I142=""),"",ABS(H142-I142)*G142)</f>
        <v/>
      </c>
      <c r="AA142" s="22" t="str">
        <f aca="false">IF(OR(J142="",N(Z142)=0),"",ABS(J142-H142)/ABS(H142-I142))</f>
        <v/>
      </c>
      <c r="AB142" s="23" t="str">
        <f aca="false">IF(U142&lt;&gt;"Closed","",(N(L142)*N(M142)+N(N142)*N(O142)+Y142*Q142)/G142)</f>
        <v/>
      </c>
      <c r="AC142" s="24" t="str">
        <f aca="false">IF(U142&lt;&gt;"Closed","",IF($B142="Short",-1,1)*((N(M142)-H142)*N(L142)+(N(O142)-H142)*N(N142)+(Q142-H142)*Y142)-N(R142))</f>
        <v/>
      </c>
      <c r="AD142" s="25" t="str">
        <f aca="false">IF(OR(AC142="",N(Z142)=0),"",AC142/Z142)</f>
        <v/>
      </c>
      <c r="AE142" s="25" t="str">
        <f aca="false">IF(OR(S142="",N(Z142)=0),"",IF($B142="Short",-1,1)*(S142-H142)*G142/Z142)</f>
        <v/>
      </c>
      <c r="AF142" s="25" t="str">
        <f aca="false">IF(OR(T142="",N(Z142)=0),"",IF($B142="Short",-1,1)*(T142-H142)*G142/Z142)</f>
        <v/>
      </c>
      <c r="AG142" s="21" t="str">
        <f aca="false">IF(U142&lt;&gt;"Open","",Y142*MAX(0,IF($B142="Short",-1,1)*(H142-IF(K142="",I142,K142))))</f>
        <v/>
      </c>
      <c r="AH142" s="26" t="str">
        <f aca="false">IF(U142&lt;&gt;"Closed","",DATE(YEAR(P142),MONTH(P142),1))</f>
        <v/>
      </c>
      <c r="AI142" s="19" t="str">
        <f aca="false">IF(U142&lt;&gt;"Closed","",COUNTIFS($U$7:$U$506,"Closed",$P$7:$P$506,"&lt;"&amp;P142)+COUNTIFS($U$7:U142,"Closed",$P$7:P142,P142))</f>
        <v/>
      </c>
    </row>
    <row r="143" customFormat="false" ht="15" hidden="false" customHeight="false" outlineLevel="0" collapsed="false">
      <c r="A143" s="13"/>
      <c r="B143" s="48"/>
      <c r="C143" s="48"/>
      <c r="D143" s="48"/>
      <c r="E143" s="15"/>
      <c r="F143" s="15"/>
      <c r="G143" s="16"/>
      <c r="H143" s="17"/>
      <c r="I143" s="17"/>
      <c r="J143" s="17"/>
      <c r="K143" s="17"/>
      <c r="L143" s="16"/>
      <c r="M143" s="17"/>
      <c r="N143" s="16"/>
      <c r="O143" s="17"/>
      <c r="P143" s="15"/>
      <c r="Q143" s="17"/>
      <c r="R143" s="17"/>
      <c r="S143" s="17"/>
      <c r="T143" s="17"/>
      <c r="U143" s="18" t="str">
        <f aca="false">IF(A143="","",IF(N(G143)-N(L143)-N(N143)&lt;0,"Check shares",IF(AND(P143&lt;&gt;"",Q143&lt;&gt;""),"Closed","Open")))</f>
        <v/>
      </c>
      <c r="V143" s="19" t="str">
        <f aca="false">IF(OR(F143="",P143=""),"",NETWORKDAYS(F143,P143,Lists!$F$5:$F$40)-1)</f>
        <v/>
      </c>
      <c r="W143" s="18" t="str">
        <f aca="false">IF(V143="","",IF(V143=0,"Same day","Overnight"))</f>
        <v/>
      </c>
      <c r="X143" s="18" t="str">
        <f aca="false">IF(OR(E143="",F143=""),"",IF(AND(E143&gt;=F143,OR(P143="",E143&lt;=P143)),"Yes","No"))</f>
        <v/>
      </c>
      <c r="Y143" s="20" t="str">
        <f aca="false">IF(A143="","",N(G143)-N(L143)-N(N143))</f>
        <v/>
      </c>
      <c r="Z143" s="21" t="str">
        <f aca="false">IF(OR(G143="",H143="",I143=""),"",ABS(H143-I143)*G143)</f>
        <v/>
      </c>
      <c r="AA143" s="22" t="str">
        <f aca="false">IF(OR(J143="",N(Z143)=0),"",ABS(J143-H143)/ABS(H143-I143))</f>
        <v/>
      </c>
      <c r="AB143" s="23" t="str">
        <f aca="false">IF(U143&lt;&gt;"Closed","",(N(L143)*N(M143)+N(N143)*N(O143)+Y143*Q143)/G143)</f>
        <v/>
      </c>
      <c r="AC143" s="24" t="str">
        <f aca="false">IF(U143&lt;&gt;"Closed","",IF($B143="Short",-1,1)*((N(M143)-H143)*N(L143)+(N(O143)-H143)*N(N143)+(Q143-H143)*Y143)-N(R143))</f>
        <v/>
      </c>
      <c r="AD143" s="25" t="str">
        <f aca="false">IF(OR(AC143="",N(Z143)=0),"",AC143/Z143)</f>
        <v/>
      </c>
      <c r="AE143" s="25" t="str">
        <f aca="false">IF(OR(S143="",N(Z143)=0),"",IF($B143="Short",-1,1)*(S143-H143)*G143/Z143)</f>
        <v/>
      </c>
      <c r="AF143" s="25" t="str">
        <f aca="false">IF(OR(T143="",N(Z143)=0),"",IF($B143="Short",-1,1)*(T143-H143)*G143/Z143)</f>
        <v/>
      </c>
      <c r="AG143" s="21" t="str">
        <f aca="false">IF(U143&lt;&gt;"Open","",Y143*MAX(0,IF($B143="Short",-1,1)*(H143-IF(K143="",I143,K143))))</f>
        <v/>
      </c>
      <c r="AH143" s="26" t="str">
        <f aca="false">IF(U143&lt;&gt;"Closed","",DATE(YEAR(P143),MONTH(P143),1))</f>
        <v/>
      </c>
      <c r="AI143" s="19" t="str">
        <f aca="false">IF(U143&lt;&gt;"Closed","",COUNTIFS($U$7:$U$506,"Closed",$P$7:$P$506,"&lt;"&amp;P143)+COUNTIFS($U$7:U143,"Closed",$P$7:P143,P143))</f>
        <v/>
      </c>
    </row>
    <row r="144" customFormat="false" ht="15" hidden="false" customHeight="false" outlineLevel="0" collapsed="false">
      <c r="A144" s="13"/>
      <c r="B144" s="48"/>
      <c r="C144" s="48"/>
      <c r="D144" s="48"/>
      <c r="E144" s="15"/>
      <c r="F144" s="15"/>
      <c r="G144" s="16"/>
      <c r="H144" s="17"/>
      <c r="I144" s="17"/>
      <c r="J144" s="17"/>
      <c r="K144" s="17"/>
      <c r="L144" s="16"/>
      <c r="M144" s="17"/>
      <c r="N144" s="16"/>
      <c r="O144" s="17"/>
      <c r="P144" s="15"/>
      <c r="Q144" s="17"/>
      <c r="R144" s="17"/>
      <c r="S144" s="17"/>
      <c r="T144" s="17"/>
      <c r="U144" s="18" t="str">
        <f aca="false">IF(A144="","",IF(N(G144)-N(L144)-N(N144)&lt;0,"Check shares",IF(AND(P144&lt;&gt;"",Q144&lt;&gt;""),"Closed","Open")))</f>
        <v/>
      </c>
      <c r="V144" s="19" t="str">
        <f aca="false">IF(OR(F144="",P144=""),"",NETWORKDAYS(F144,P144,Lists!$F$5:$F$40)-1)</f>
        <v/>
      </c>
      <c r="W144" s="18" t="str">
        <f aca="false">IF(V144="","",IF(V144=0,"Same day","Overnight"))</f>
        <v/>
      </c>
      <c r="X144" s="18" t="str">
        <f aca="false">IF(OR(E144="",F144=""),"",IF(AND(E144&gt;=F144,OR(P144="",E144&lt;=P144)),"Yes","No"))</f>
        <v/>
      </c>
      <c r="Y144" s="20" t="str">
        <f aca="false">IF(A144="","",N(G144)-N(L144)-N(N144))</f>
        <v/>
      </c>
      <c r="Z144" s="21" t="str">
        <f aca="false">IF(OR(G144="",H144="",I144=""),"",ABS(H144-I144)*G144)</f>
        <v/>
      </c>
      <c r="AA144" s="22" t="str">
        <f aca="false">IF(OR(J144="",N(Z144)=0),"",ABS(J144-H144)/ABS(H144-I144))</f>
        <v/>
      </c>
      <c r="AB144" s="23" t="str">
        <f aca="false">IF(U144&lt;&gt;"Closed","",(N(L144)*N(M144)+N(N144)*N(O144)+Y144*Q144)/G144)</f>
        <v/>
      </c>
      <c r="AC144" s="24" t="str">
        <f aca="false">IF(U144&lt;&gt;"Closed","",IF($B144="Short",-1,1)*((N(M144)-H144)*N(L144)+(N(O144)-H144)*N(N144)+(Q144-H144)*Y144)-N(R144))</f>
        <v/>
      </c>
      <c r="AD144" s="25" t="str">
        <f aca="false">IF(OR(AC144="",N(Z144)=0),"",AC144/Z144)</f>
        <v/>
      </c>
      <c r="AE144" s="25" t="str">
        <f aca="false">IF(OR(S144="",N(Z144)=0),"",IF($B144="Short",-1,1)*(S144-H144)*G144/Z144)</f>
        <v/>
      </c>
      <c r="AF144" s="25" t="str">
        <f aca="false">IF(OR(T144="",N(Z144)=0),"",IF($B144="Short",-1,1)*(T144-H144)*G144/Z144)</f>
        <v/>
      </c>
      <c r="AG144" s="21" t="str">
        <f aca="false">IF(U144&lt;&gt;"Open","",Y144*MAX(0,IF($B144="Short",-1,1)*(H144-IF(K144="",I144,K144))))</f>
        <v/>
      </c>
      <c r="AH144" s="26" t="str">
        <f aca="false">IF(U144&lt;&gt;"Closed","",DATE(YEAR(P144),MONTH(P144),1))</f>
        <v/>
      </c>
      <c r="AI144" s="19" t="str">
        <f aca="false">IF(U144&lt;&gt;"Closed","",COUNTIFS($U$7:$U$506,"Closed",$P$7:$P$506,"&lt;"&amp;P144)+COUNTIFS($U$7:U144,"Closed",$P$7:P144,P144))</f>
        <v/>
      </c>
    </row>
    <row r="145" customFormat="false" ht="15" hidden="false" customHeight="false" outlineLevel="0" collapsed="false">
      <c r="A145" s="13"/>
      <c r="B145" s="48"/>
      <c r="C145" s="48"/>
      <c r="D145" s="48"/>
      <c r="E145" s="15"/>
      <c r="F145" s="15"/>
      <c r="G145" s="16"/>
      <c r="H145" s="17"/>
      <c r="I145" s="17"/>
      <c r="J145" s="17"/>
      <c r="K145" s="17"/>
      <c r="L145" s="16"/>
      <c r="M145" s="17"/>
      <c r="N145" s="16"/>
      <c r="O145" s="17"/>
      <c r="P145" s="15"/>
      <c r="Q145" s="17"/>
      <c r="R145" s="17"/>
      <c r="S145" s="17"/>
      <c r="T145" s="17"/>
      <c r="U145" s="18" t="str">
        <f aca="false">IF(A145="","",IF(N(G145)-N(L145)-N(N145)&lt;0,"Check shares",IF(AND(P145&lt;&gt;"",Q145&lt;&gt;""),"Closed","Open")))</f>
        <v/>
      </c>
      <c r="V145" s="19" t="str">
        <f aca="false">IF(OR(F145="",P145=""),"",NETWORKDAYS(F145,P145,Lists!$F$5:$F$40)-1)</f>
        <v/>
      </c>
      <c r="W145" s="18" t="str">
        <f aca="false">IF(V145="","",IF(V145=0,"Same day","Overnight"))</f>
        <v/>
      </c>
      <c r="X145" s="18" t="str">
        <f aca="false">IF(OR(E145="",F145=""),"",IF(AND(E145&gt;=F145,OR(P145="",E145&lt;=P145)),"Yes","No"))</f>
        <v/>
      </c>
      <c r="Y145" s="20" t="str">
        <f aca="false">IF(A145="","",N(G145)-N(L145)-N(N145))</f>
        <v/>
      </c>
      <c r="Z145" s="21" t="str">
        <f aca="false">IF(OR(G145="",H145="",I145=""),"",ABS(H145-I145)*G145)</f>
        <v/>
      </c>
      <c r="AA145" s="22" t="str">
        <f aca="false">IF(OR(J145="",N(Z145)=0),"",ABS(J145-H145)/ABS(H145-I145))</f>
        <v/>
      </c>
      <c r="AB145" s="23" t="str">
        <f aca="false">IF(U145&lt;&gt;"Closed","",(N(L145)*N(M145)+N(N145)*N(O145)+Y145*Q145)/G145)</f>
        <v/>
      </c>
      <c r="AC145" s="24" t="str">
        <f aca="false">IF(U145&lt;&gt;"Closed","",IF($B145="Short",-1,1)*((N(M145)-H145)*N(L145)+(N(O145)-H145)*N(N145)+(Q145-H145)*Y145)-N(R145))</f>
        <v/>
      </c>
      <c r="AD145" s="25" t="str">
        <f aca="false">IF(OR(AC145="",N(Z145)=0),"",AC145/Z145)</f>
        <v/>
      </c>
      <c r="AE145" s="25" t="str">
        <f aca="false">IF(OR(S145="",N(Z145)=0),"",IF($B145="Short",-1,1)*(S145-H145)*G145/Z145)</f>
        <v/>
      </c>
      <c r="AF145" s="25" t="str">
        <f aca="false">IF(OR(T145="",N(Z145)=0),"",IF($B145="Short",-1,1)*(T145-H145)*G145/Z145)</f>
        <v/>
      </c>
      <c r="AG145" s="21" t="str">
        <f aca="false">IF(U145&lt;&gt;"Open","",Y145*MAX(0,IF($B145="Short",-1,1)*(H145-IF(K145="",I145,K145))))</f>
        <v/>
      </c>
      <c r="AH145" s="26" t="str">
        <f aca="false">IF(U145&lt;&gt;"Closed","",DATE(YEAR(P145),MONTH(P145),1))</f>
        <v/>
      </c>
      <c r="AI145" s="19" t="str">
        <f aca="false">IF(U145&lt;&gt;"Closed","",COUNTIFS($U$7:$U$506,"Closed",$P$7:$P$506,"&lt;"&amp;P145)+COUNTIFS($U$7:U145,"Closed",$P$7:P145,P145))</f>
        <v/>
      </c>
    </row>
    <row r="146" customFormat="false" ht="15" hidden="false" customHeight="false" outlineLevel="0" collapsed="false">
      <c r="A146" s="13"/>
      <c r="B146" s="48"/>
      <c r="C146" s="48"/>
      <c r="D146" s="48"/>
      <c r="E146" s="15"/>
      <c r="F146" s="15"/>
      <c r="G146" s="16"/>
      <c r="H146" s="17"/>
      <c r="I146" s="17"/>
      <c r="J146" s="17"/>
      <c r="K146" s="17"/>
      <c r="L146" s="16"/>
      <c r="M146" s="17"/>
      <c r="N146" s="16"/>
      <c r="O146" s="17"/>
      <c r="P146" s="15"/>
      <c r="Q146" s="17"/>
      <c r="R146" s="17"/>
      <c r="S146" s="17"/>
      <c r="T146" s="17"/>
      <c r="U146" s="18" t="str">
        <f aca="false">IF(A146="","",IF(N(G146)-N(L146)-N(N146)&lt;0,"Check shares",IF(AND(P146&lt;&gt;"",Q146&lt;&gt;""),"Closed","Open")))</f>
        <v/>
      </c>
      <c r="V146" s="19" t="str">
        <f aca="false">IF(OR(F146="",P146=""),"",NETWORKDAYS(F146,P146,Lists!$F$5:$F$40)-1)</f>
        <v/>
      </c>
      <c r="W146" s="18" t="str">
        <f aca="false">IF(V146="","",IF(V146=0,"Same day","Overnight"))</f>
        <v/>
      </c>
      <c r="X146" s="18" t="str">
        <f aca="false">IF(OR(E146="",F146=""),"",IF(AND(E146&gt;=F146,OR(P146="",E146&lt;=P146)),"Yes","No"))</f>
        <v/>
      </c>
      <c r="Y146" s="20" t="str">
        <f aca="false">IF(A146="","",N(G146)-N(L146)-N(N146))</f>
        <v/>
      </c>
      <c r="Z146" s="21" t="str">
        <f aca="false">IF(OR(G146="",H146="",I146=""),"",ABS(H146-I146)*G146)</f>
        <v/>
      </c>
      <c r="AA146" s="22" t="str">
        <f aca="false">IF(OR(J146="",N(Z146)=0),"",ABS(J146-H146)/ABS(H146-I146))</f>
        <v/>
      </c>
      <c r="AB146" s="23" t="str">
        <f aca="false">IF(U146&lt;&gt;"Closed","",(N(L146)*N(M146)+N(N146)*N(O146)+Y146*Q146)/G146)</f>
        <v/>
      </c>
      <c r="AC146" s="24" t="str">
        <f aca="false">IF(U146&lt;&gt;"Closed","",IF($B146="Short",-1,1)*((N(M146)-H146)*N(L146)+(N(O146)-H146)*N(N146)+(Q146-H146)*Y146)-N(R146))</f>
        <v/>
      </c>
      <c r="AD146" s="25" t="str">
        <f aca="false">IF(OR(AC146="",N(Z146)=0),"",AC146/Z146)</f>
        <v/>
      </c>
      <c r="AE146" s="25" t="str">
        <f aca="false">IF(OR(S146="",N(Z146)=0),"",IF($B146="Short",-1,1)*(S146-H146)*G146/Z146)</f>
        <v/>
      </c>
      <c r="AF146" s="25" t="str">
        <f aca="false">IF(OR(T146="",N(Z146)=0),"",IF($B146="Short",-1,1)*(T146-H146)*G146/Z146)</f>
        <v/>
      </c>
      <c r="AG146" s="21" t="str">
        <f aca="false">IF(U146&lt;&gt;"Open","",Y146*MAX(0,IF($B146="Short",-1,1)*(H146-IF(K146="",I146,K146))))</f>
        <v/>
      </c>
      <c r="AH146" s="26" t="str">
        <f aca="false">IF(U146&lt;&gt;"Closed","",DATE(YEAR(P146),MONTH(P146),1))</f>
        <v/>
      </c>
      <c r="AI146" s="19" t="str">
        <f aca="false">IF(U146&lt;&gt;"Closed","",COUNTIFS($U$7:$U$506,"Closed",$P$7:$P$506,"&lt;"&amp;P146)+COUNTIFS($U$7:U146,"Closed",$P$7:P146,P146))</f>
        <v/>
      </c>
    </row>
    <row r="147" customFormat="false" ht="15" hidden="false" customHeight="false" outlineLevel="0" collapsed="false">
      <c r="A147" s="13"/>
      <c r="B147" s="48"/>
      <c r="C147" s="48"/>
      <c r="D147" s="48"/>
      <c r="E147" s="15"/>
      <c r="F147" s="15"/>
      <c r="G147" s="16"/>
      <c r="H147" s="17"/>
      <c r="I147" s="17"/>
      <c r="J147" s="17"/>
      <c r="K147" s="17"/>
      <c r="L147" s="16"/>
      <c r="M147" s="17"/>
      <c r="N147" s="16"/>
      <c r="O147" s="17"/>
      <c r="P147" s="15"/>
      <c r="Q147" s="17"/>
      <c r="R147" s="17"/>
      <c r="S147" s="17"/>
      <c r="T147" s="17"/>
      <c r="U147" s="18" t="str">
        <f aca="false">IF(A147="","",IF(N(G147)-N(L147)-N(N147)&lt;0,"Check shares",IF(AND(P147&lt;&gt;"",Q147&lt;&gt;""),"Closed","Open")))</f>
        <v/>
      </c>
      <c r="V147" s="19" t="str">
        <f aca="false">IF(OR(F147="",P147=""),"",NETWORKDAYS(F147,P147,Lists!$F$5:$F$40)-1)</f>
        <v/>
      </c>
      <c r="W147" s="18" t="str">
        <f aca="false">IF(V147="","",IF(V147=0,"Same day","Overnight"))</f>
        <v/>
      </c>
      <c r="X147" s="18" t="str">
        <f aca="false">IF(OR(E147="",F147=""),"",IF(AND(E147&gt;=F147,OR(P147="",E147&lt;=P147)),"Yes","No"))</f>
        <v/>
      </c>
      <c r="Y147" s="20" t="str">
        <f aca="false">IF(A147="","",N(G147)-N(L147)-N(N147))</f>
        <v/>
      </c>
      <c r="Z147" s="21" t="str">
        <f aca="false">IF(OR(G147="",H147="",I147=""),"",ABS(H147-I147)*G147)</f>
        <v/>
      </c>
      <c r="AA147" s="22" t="str">
        <f aca="false">IF(OR(J147="",N(Z147)=0),"",ABS(J147-H147)/ABS(H147-I147))</f>
        <v/>
      </c>
      <c r="AB147" s="23" t="str">
        <f aca="false">IF(U147&lt;&gt;"Closed","",(N(L147)*N(M147)+N(N147)*N(O147)+Y147*Q147)/G147)</f>
        <v/>
      </c>
      <c r="AC147" s="24" t="str">
        <f aca="false">IF(U147&lt;&gt;"Closed","",IF($B147="Short",-1,1)*((N(M147)-H147)*N(L147)+(N(O147)-H147)*N(N147)+(Q147-H147)*Y147)-N(R147))</f>
        <v/>
      </c>
      <c r="AD147" s="25" t="str">
        <f aca="false">IF(OR(AC147="",N(Z147)=0),"",AC147/Z147)</f>
        <v/>
      </c>
      <c r="AE147" s="25" t="str">
        <f aca="false">IF(OR(S147="",N(Z147)=0),"",IF($B147="Short",-1,1)*(S147-H147)*G147/Z147)</f>
        <v/>
      </c>
      <c r="AF147" s="25" t="str">
        <f aca="false">IF(OR(T147="",N(Z147)=0),"",IF($B147="Short",-1,1)*(T147-H147)*G147/Z147)</f>
        <v/>
      </c>
      <c r="AG147" s="21" t="str">
        <f aca="false">IF(U147&lt;&gt;"Open","",Y147*MAX(0,IF($B147="Short",-1,1)*(H147-IF(K147="",I147,K147))))</f>
        <v/>
      </c>
      <c r="AH147" s="26" t="str">
        <f aca="false">IF(U147&lt;&gt;"Closed","",DATE(YEAR(P147),MONTH(P147),1))</f>
        <v/>
      </c>
      <c r="AI147" s="19" t="str">
        <f aca="false">IF(U147&lt;&gt;"Closed","",COUNTIFS($U$7:$U$506,"Closed",$P$7:$P$506,"&lt;"&amp;P147)+COUNTIFS($U$7:U147,"Closed",$P$7:P147,P147))</f>
        <v/>
      </c>
    </row>
    <row r="148" customFormat="false" ht="15" hidden="false" customHeight="false" outlineLevel="0" collapsed="false">
      <c r="A148" s="13"/>
      <c r="B148" s="48"/>
      <c r="C148" s="48"/>
      <c r="D148" s="48"/>
      <c r="E148" s="15"/>
      <c r="F148" s="15"/>
      <c r="G148" s="16"/>
      <c r="H148" s="17"/>
      <c r="I148" s="17"/>
      <c r="J148" s="17"/>
      <c r="K148" s="17"/>
      <c r="L148" s="16"/>
      <c r="M148" s="17"/>
      <c r="N148" s="16"/>
      <c r="O148" s="17"/>
      <c r="P148" s="15"/>
      <c r="Q148" s="17"/>
      <c r="R148" s="17"/>
      <c r="S148" s="17"/>
      <c r="T148" s="17"/>
      <c r="U148" s="18" t="str">
        <f aca="false">IF(A148="","",IF(N(G148)-N(L148)-N(N148)&lt;0,"Check shares",IF(AND(P148&lt;&gt;"",Q148&lt;&gt;""),"Closed","Open")))</f>
        <v/>
      </c>
      <c r="V148" s="19" t="str">
        <f aca="false">IF(OR(F148="",P148=""),"",NETWORKDAYS(F148,P148,Lists!$F$5:$F$40)-1)</f>
        <v/>
      </c>
      <c r="W148" s="18" t="str">
        <f aca="false">IF(V148="","",IF(V148=0,"Same day","Overnight"))</f>
        <v/>
      </c>
      <c r="X148" s="18" t="str">
        <f aca="false">IF(OR(E148="",F148=""),"",IF(AND(E148&gt;=F148,OR(P148="",E148&lt;=P148)),"Yes","No"))</f>
        <v/>
      </c>
      <c r="Y148" s="20" t="str">
        <f aca="false">IF(A148="","",N(G148)-N(L148)-N(N148))</f>
        <v/>
      </c>
      <c r="Z148" s="21" t="str">
        <f aca="false">IF(OR(G148="",H148="",I148=""),"",ABS(H148-I148)*G148)</f>
        <v/>
      </c>
      <c r="AA148" s="22" t="str">
        <f aca="false">IF(OR(J148="",N(Z148)=0),"",ABS(J148-H148)/ABS(H148-I148))</f>
        <v/>
      </c>
      <c r="AB148" s="23" t="str">
        <f aca="false">IF(U148&lt;&gt;"Closed","",(N(L148)*N(M148)+N(N148)*N(O148)+Y148*Q148)/G148)</f>
        <v/>
      </c>
      <c r="AC148" s="24" t="str">
        <f aca="false">IF(U148&lt;&gt;"Closed","",IF($B148="Short",-1,1)*((N(M148)-H148)*N(L148)+(N(O148)-H148)*N(N148)+(Q148-H148)*Y148)-N(R148))</f>
        <v/>
      </c>
      <c r="AD148" s="25" t="str">
        <f aca="false">IF(OR(AC148="",N(Z148)=0),"",AC148/Z148)</f>
        <v/>
      </c>
      <c r="AE148" s="25" t="str">
        <f aca="false">IF(OR(S148="",N(Z148)=0),"",IF($B148="Short",-1,1)*(S148-H148)*G148/Z148)</f>
        <v/>
      </c>
      <c r="AF148" s="25" t="str">
        <f aca="false">IF(OR(T148="",N(Z148)=0),"",IF($B148="Short",-1,1)*(T148-H148)*G148/Z148)</f>
        <v/>
      </c>
      <c r="AG148" s="21" t="str">
        <f aca="false">IF(U148&lt;&gt;"Open","",Y148*MAX(0,IF($B148="Short",-1,1)*(H148-IF(K148="",I148,K148))))</f>
        <v/>
      </c>
      <c r="AH148" s="26" t="str">
        <f aca="false">IF(U148&lt;&gt;"Closed","",DATE(YEAR(P148),MONTH(P148),1))</f>
        <v/>
      </c>
      <c r="AI148" s="19" t="str">
        <f aca="false">IF(U148&lt;&gt;"Closed","",COUNTIFS($U$7:$U$506,"Closed",$P$7:$P$506,"&lt;"&amp;P148)+COUNTIFS($U$7:U148,"Closed",$P$7:P148,P148))</f>
        <v/>
      </c>
    </row>
    <row r="149" customFormat="false" ht="15" hidden="false" customHeight="false" outlineLevel="0" collapsed="false">
      <c r="A149" s="13"/>
      <c r="B149" s="48"/>
      <c r="C149" s="48"/>
      <c r="D149" s="48"/>
      <c r="E149" s="15"/>
      <c r="F149" s="15"/>
      <c r="G149" s="16"/>
      <c r="H149" s="17"/>
      <c r="I149" s="17"/>
      <c r="J149" s="17"/>
      <c r="K149" s="17"/>
      <c r="L149" s="16"/>
      <c r="M149" s="17"/>
      <c r="N149" s="16"/>
      <c r="O149" s="17"/>
      <c r="P149" s="15"/>
      <c r="Q149" s="17"/>
      <c r="R149" s="17"/>
      <c r="S149" s="17"/>
      <c r="T149" s="17"/>
      <c r="U149" s="18" t="str">
        <f aca="false">IF(A149="","",IF(N(G149)-N(L149)-N(N149)&lt;0,"Check shares",IF(AND(P149&lt;&gt;"",Q149&lt;&gt;""),"Closed","Open")))</f>
        <v/>
      </c>
      <c r="V149" s="19" t="str">
        <f aca="false">IF(OR(F149="",P149=""),"",NETWORKDAYS(F149,P149,Lists!$F$5:$F$40)-1)</f>
        <v/>
      </c>
      <c r="W149" s="18" t="str">
        <f aca="false">IF(V149="","",IF(V149=0,"Same day","Overnight"))</f>
        <v/>
      </c>
      <c r="X149" s="18" t="str">
        <f aca="false">IF(OR(E149="",F149=""),"",IF(AND(E149&gt;=F149,OR(P149="",E149&lt;=P149)),"Yes","No"))</f>
        <v/>
      </c>
      <c r="Y149" s="20" t="str">
        <f aca="false">IF(A149="","",N(G149)-N(L149)-N(N149))</f>
        <v/>
      </c>
      <c r="Z149" s="21" t="str">
        <f aca="false">IF(OR(G149="",H149="",I149=""),"",ABS(H149-I149)*G149)</f>
        <v/>
      </c>
      <c r="AA149" s="22" t="str">
        <f aca="false">IF(OR(J149="",N(Z149)=0),"",ABS(J149-H149)/ABS(H149-I149))</f>
        <v/>
      </c>
      <c r="AB149" s="23" t="str">
        <f aca="false">IF(U149&lt;&gt;"Closed","",(N(L149)*N(M149)+N(N149)*N(O149)+Y149*Q149)/G149)</f>
        <v/>
      </c>
      <c r="AC149" s="24" t="str">
        <f aca="false">IF(U149&lt;&gt;"Closed","",IF($B149="Short",-1,1)*((N(M149)-H149)*N(L149)+(N(O149)-H149)*N(N149)+(Q149-H149)*Y149)-N(R149))</f>
        <v/>
      </c>
      <c r="AD149" s="25" t="str">
        <f aca="false">IF(OR(AC149="",N(Z149)=0),"",AC149/Z149)</f>
        <v/>
      </c>
      <c r="AE149" s="25" t="str">
        <f aca="false">IF(OR(S149="",N(Z149)=0),"",IF($B149="Short",-1,1)*(S149-H149)*G149/Z149)</f>
        <v/>
      </c>
      <c r="AF149" s="25" t="str">
        <f aca="false">IF(OR(T149="",N(Z149)=0),"",IF($B149="Short",-1,1)*(T149-H149)*G149/Z149)</f>
        <v/>
      </c>
      <c r="AG149" s="21" t="str">
        <f aca="false">IF(U149&lt;&gt;"Open","",Y149*MAX(0,IF($B149="Short",-1,1)*(H149-IF(K149="",I149,K149))))</f>
        <v/>
      </c>
      <c r="AH149" s="26" t="str">
        <f aca="false">IF(U149&lt;&gt;"Closed","",DATE(YEAR(P149),MONTH(P149),1))</f>
        <v/>
      </c>
      <c r="AI149" s="19" t="str">
        <f aca="false">IF(U149&lt;&gt;"Closed","",COUNTIFS($U$7:$U$506,"Closed",$P$7:$P$506,"&lt;"&amp;P149)+COUNTIFS($U$7:U149,"Closed",$P$7:P149,P149))</f>
        <v/>
      </c>
    </row>
    <row r="150" customFormat="false" ht="15" hidden="false" customHeight="false" outlineLevel="0" collapsed="false">
      <c r="A150" s="13"/>
      <c r="B150" s="48"/>
      <c r="C150" s="48"/>
      <c r="D150" s="48"/>
      <c r="E150" s="15"/>
      <c r="F150" s="15"/>
      <c r="G150" s="16"/>
      <c r="H150" s="17"/>
      <c r="I150" s="17"/>
      <c r="J150" s="17"/>
      <c r="K150" s="17"/>
      <c r="L150" s="16"/>
      <c r="M150" s="17"/>
      <c r="N150" s="16"/>
      <c r="O150" s="17"/>
      <c r="P150" s="15"/>
      <c r="Q150" s="17"/>
      <c r="R150" s="17"/>
      <c r="S150" s="17"/>
      <c r="T150" s="17"/>
      <c r="U150" s="18" t="str">
        <f aca="false">IF(A150="","",IF(N(G150)-N(L150)-N(N150)&lt;0,"Check shares",IF(AND(P150&lt;&gt;"",Q150&lt;&gt;""),"Closed","Open")))</f>
        <v/>
      </c>
      <c r="V150" s="19" t="str">
        <f aca="false">IF(OR(F150="",P150=""),"",NETWORKDAYS(F150,P150,Lists!$F$5:$F$40)-1)</f>
        <v/>
      </c>
      <c r="W150" s="18" t="str">
        <f aca="false">IF(V150="","",IF(V150=0,"Same day","Overnight"))</f>
        <v/>
      </c>
      <c r="X150" s="18" t="str">
        <f aca="false">IF(OR(E150="",F150=""),"",IF(AND(E150&gt;=F150,OR(P150="",E150&lt;=P150)),"Yes","No"))</f>
        <v/>
      </c>
      <c r="Y150" s="20" t="str">
        <f aca="false">IF(A150="","",N(G150)-N(L150)-N(N150))</f>
        <v/>
      </c>
      <c r="Z150" s="21" t="str">
        <f aca="false">IF(OR(G150="",H150="",I150=""),"",ABS(H150-I150)*G150)</f>
        <v/>
      </c>
      <c r="AA150" s="22" t="str">
        <f aca="false">IF(OR(J150="",N(Z150)=0),"",ABS(J150-H150)/ABS(H150-I150))</f>
        <v/>
      </c>
      <c r="AB150" s="23" t="str">
        <f aca="false">IF(U150&lt;&gt;"Closed","",(N(L150)*N(M150)+N(N150)*N(O150)+Y150*Q150)/G150)</f>
        <v/>
      </c>
      <c r="AC150" s="24" t="str">
        <f aca="false">IF(U150&lt;&gt;"Closed","",IF($B150="Short",-1,1)*((N(M150)-H150)*N(L150)+(N(O150)-H150)*N(N150)+(Q150-H150)*Y150)-N(R150))</f>
        <v/>
      </c>
      <c r="AD150" s="25" t="str">
        <f aca="false">IF(OR(AC150="",N(Z150)=0),"",AC150/Z150)</f>
        <v/>
      </c>
      <c r="AE150" s="25" t="str">
        <f aca="false">IF(OR(S150="",N(Z150)=0),"",IF($B150="Short",-1,1)*(S150-H150)*G150/Z150)</f>
        <v/>
      </c>
      <c r="AF150" s="25" t="str">
        <f aca="false">IF(OR(T150="",N(Z150)=0),"",IF($B150="Short",-1,1)*(T150-H150)*G150/Z150)</f>
        <v/>
      </c>
      <c r="AG150" s="21" t="str">
        <f aca="false">IF(U150&lt;&gt;"Open","",Y150*MAX(0,IF($B150="Short",-1,1)*(H150-IF(K150="",I150,K150))))</f>
        <v/>
      </c>
      <c r="AH150" s="26" t="str">
        <f aca="false">IF(U150&lt;&gt;"Closed","",DATE(YEAR(P150),MONTH(P150),1))</f>
        <v/>
      </c>
      <c r="AI150" s="19" t="str">
        <f aca="false">IF(U150&lt;&gt;"Closed","",COUNTIFS($U$7:$U$506,"Closed",$P$7:$P$506,"&lt;"&amp;P150)+COUNTIFS($U$7:U150,"Closed",$P$7:P150,P150))</f>
        <v/>
      </c>
    </row>
    <row r="151" customFormat="false" ht="15" hidden="false" customHeight="false" outlineLevel="0" collapsed="false">
      <c r="A151" s="13"/>
      <c r="B151" s="48"/>
      <c r="C151" s="48"/>
      <c r="D151" s="48"/>
      <c r="E151" s="15"/>
      <c r="F151" s="15"/>
      <c r="G151" s="16"/>
      <c r="H151" s="17"/>
      <c r="I151" s="17"/>
      <c r="J151" s="17"/>
      <c r="K151" s="17"/>
      <c r="L151" s="16"/>
      <c r="M151" s="17"/>
      <c r="N151" s="16"/>
      <c r="O151" s="17"/>
      <c r="P151" s="15"/>
      <c r="Q151" s="17"/>
      <c r="R151" s="17"/>
      <c r="S151" s="17"/>
      <c r="T151" s="17"/>
      <c r="U151" s="18" t="str">
        <f aca="false">IF(A151="","",IF(N(G151)-N(L151)-N(N151)&lt;0,"Check shares",IF(AND(P151&lt;&gt;"",Q151&lt;&gt;""),"Closed","Open")))</f>
        <v/>
      </c>
      <c r="V151" s="19" t="str">
        <f aca="false">IF(OR(F151="",P151=""),"",NETWORKDAYS(F151,P151,Lists!$F$5:$F$40)-1)</f>
        <v/>
      </c>
      <c r="W151" s="18" t="str">
        <f aca="false">IF(V151="","",IF(V151=0,"Same day","Overnight"))</f>
        <v/>
      </c>
      <c r="X151" s="18" t="str">
        <f aca="false">IF(OR(E151="",F151=""),"",IF(AND(E151&gt;=F151,OR(P151="",E151&lt;=P151)),"Yes","No"))</f>
        <v/>
      </c>
      <c r="Y151" s="20" t="str">
        <f aca="false">IF(A151="","",N(G151)-N(L151)-N(N151))</f>
        <v/>
      </c>
      <c r="Z151" s="21" t="str">
        <f aca="false">IF(OR(G151="",H151="",I151=""),"",ABS(H151-I151)*G151)</f>
        <v/>
      </c>
      <c r="AA151" s="22" t="str">
        <f aca="false">IF(OR(J151="",N(Z151)=0),"",ABS(J151-H151)/ABS(H151-I151))</f>
        <v/>
      </c>
      <c r="AB151" s="23" t="str">
        <f aca="false">IF(U151&lt;&gt;"Closed","",(N(L151)*N(M151)+N(N151)*N(O151)+Y151*Q151)/G151)</f>
        <v/>
      </c>
      <c r="AC151" s="24" t="str">
        <f aca="false">IF(U151&lt;&gt;"Closed","",IF($B151="Short",-1,1)*((N(M151)-H151)*N(L151)+(N(O151)-H151)*N(N151)+(Q151-H151)*Y151)-N(R151))</f>
        <v/>
      </c>
      <c r="AD151" s="25" t="str">
        <f aca="false">IF(OR(AC151="",N(Z151)=0),"",AC151/Z151)</f>
        <v/>
      </c>
      <c r="AE151" s="25" t="str">
        <f aca="false">IF(OR(S151="",N(Z151)=0),"",IF($B151="Short",-1,1)*(S151-H151)*G151/Z151)</f>
        <v/>
      </c>
      <c r="AF151" s="25" t="str">
        <f aca="false">IF(OR(T151="",N(Z151)=0),"",IF($B151="Short",-1,1)*(T151-H151)*G151/Z151)</f>
        <v/>
      </c>
      <c r="AG151" s="21" t="str">
        <f aca="false">IF(U151&lt;&gt;"Open","",Y151*MAX(0,IF($B151="Short",-1,1)*(H151-IF(K151="",I151,K151))))</f>
        <v/>
      </c>
      <c r="AH151" s="26" t="str">
        <f aca="false">IF(U151&lt;&gt;"Closed","",DATE(YEAR(P151),MONTH(P151),1))</f>
        <v/>
      </c>
      <c r="AI151" s="19" t="str">
        <f aca="false">IF(U151&lt;&gt;"Closed","",COUNTIFS($U$7:$U$506,"Closed",$P$7:$P$506,"&lt;"&amp;P151)+COUNTIFS($U$7:U151,"Closed",$P$7:P151,P151))</f>
        <v/>
      </c>
    </row>
    <row r="152" customFormat="false" ht="15" hidden="false" customHeight="false" outlineLevel="0" collapsed="false">
      <c r="A152" s="13"/>
      <c r="B152" s="48"/>
      <c r="C152" s="48"/>
      <c r="D152" s="48"/>
      <c r="E152" s="15"/>
      <c r="F152" s="15"/>
      <c r="G152" s="16"/>
      <c r="H152" s="17"/>
      <c r="I152" s="17"/>
      <c r="J152" s="17"/>
      <c r="K152" s="17"/>
      <c r="L152" s="16"/>
      <c r="M152" s="17"/>
      <c r="N152" s="16"/>
      <c r="O152" s="17"/>
      <c r="P152" s="15"/>
      <c r="Q152" s="17"/>
      <c r="R152" s="17"/>
      <c r="S152" s="17"/>
      <c r="T152" s="17"/>
      <c r="U152" s="18" t="str">
        <f aca="false">IF(A152="","",IF(N(G152)-N(L152)-N(N152)&lt;0,"Check shares",IF(AND(P152&lt;&gt;"",Q152&lt;&gt;""),"Closed","Open")))</f>
        <v/>
      </c>
      <c r="V152" s="19" t="str">
        <f aca="false">IF(OR(F152="",P152=""),"",NETWORKDAYS(F152,P152,Lists!$F$5:$F$40)-1)</f>
        <v/>
      </c>
      <c r="W152" s="18" t="str">
        <f aca="false">IF(V152="","",IF(V152=0,"Same day","Overnight"))</f>
        <v/>
      </c>
      <c r="X152" s="18" t="str">
        <f aca="false">IF(OR(E152="",F152=""),"",IF(AND(E152&gt;=F152,OR(P152="",E152&lt;=P152)),"Yes","No"))</f>
        <v/>
      </c>
      <c r="Y152" s="20" t="str">
        <f aca="false">IF(A152="","",N(G152)-N(L152)-N(N152))</f>
        <v/>
      </c>
      <c r="Z152" s="21" t="str">
        <f aca="false">IF(OR(G152="",H152="",I152=""),"",ABS(H152-I152)*G152)</f>
        <v/>
      </c>
      <c r="AA152" s="22" t="str">
        <f aca="false">IF(OR(J152="",N(Z152)=0),"",ABS(J152-H152)/ABS(H152-I152))</f>
        <v/>
      </c>
      <c r="AB152" s="23" t="str">
        <f aca="false">IF(U152&lt;&gt;"Closed","",(N(L152)*N(M152)+N(N152)*N(O152)+Y152*Q152)/G152)</f>
        <v/>
      </c>
      <c r="AC152" s="24" t="str">
        <f aca="false">IF(U152&lt;&gt;"Closed","",IF($B152="Short",-1,1)*((N(M152)-H152)*N(L152)+(N(O152)-H152)*N(N152)+(Q152-H152)*Y152)-N(R152))</f>
        <v/>
      </c>
      <c r="AD152" s="25" t="str">
        <f aca="false">IF(OR(AC152="",N(Z152)=0),"",AC152/Z152)</f>
        <v/>
      </c>
      <c r="AE152" s="25" t="str">
        <f aca="false">IF(OR(S152="",N(Z152)=0),"",IF($B152="Short",-1,1)*(S152-H152)*G152/Z152)</f>
        <v/>
      </c>
      <c r="AF152" s="25" t="str">
        <f aca="false">IF(OR(T152="",N(Z152)=0),"",IF($B152="Short",-1,1)*(T152-H152)*G152/Z152)</f>
        <v/>
      </c>
      <c r="AG152" s="21" t="str">
        <f aca="false">IF(U152&lt;&gt;"Open","",Y152*MAX(0,IF($B152="Short",-1,1)*(H152-IF(K152="",I152,K152))))</f>
        <v/>
      </c>
      <c r="AH152" s="26" t="str">
        <f aca="false">IF(U152&lt;&gt;"Closed","",DATE(YEAR(P152),MONTH(P152),1))</f>
        <v/>
      </c>
      <c r="AI152" s="19" t="str">
        <f aca="false">IF(U152&lt;&gt;"Closed","",COUNTIFS($U$7:$U$506,"Closed",$P$7:$P$506,"&lt;"&amp;P152)+COUNTIFS($U$7:U152,"Closed",$P$7:P152,P152))</f>
        <v/>
      </c>
    </row>
    <row r="153" customFormat="false" ht="15" hidden="false" customHeight="false" outlineLevel="0" collapsed="false">
      <c r="A153" s="13"/>
      <c r="B153" s="48"/>
      <c r="C153" s="48"/>
      <c r="D153" s="48"/>
      <c r="E153" s="15"/>
      <c r="F153" s="15"/>
      <c r="G153" s="16"/>
      <c r="H153" s="17"/>
      <c r="I153" s="17"/>
      <c r="J153" s="17"/>
      <c r="K153" s="17"/>
      <c r="L153" s="16"/>
      <c r="M153" s="17"/>
      <c r="N153" s="16"/>
      <c r="O153" s="17"/>
      <c r="P153" s="15"/>
      <c r="Q153" s="17"/>
      <c r="R153" s="17"/>
      <c r="S153" s="17"/>
      <c r="T153" s="17"/>
      <c r="U153" s="18" t="str">
        <f aca="false">IF(A153="","",IF(N(G153)-N(L153)-N(N153)&lt;0,"Check shares",IF(AND(P153&lt;&gt;"",Q153&lt;&gt;""),"Closed","Open")))</f>
        <v/>
      </c>
      <c r="V153" s="19" t="str">
        <f aca="false">IF(OR(F153="",P153=""),"",NETWORKDAYS(F153,P153,Lists!$F$5:$F$40)-1)</f>
        <v/>
      </c>
      <c r="W153" s="18" t="str">
        <f aca="false">IF(V153="","",IF(V153=0,"Same day","Overnight"))</f>
        <v/>
      </c>
      <c r="X153" s="18" t="str">
        <f aca="false">IF(OR(E153="",F153=""),"",IF(AND(E153&gt;=F153,OR(P153="",E153&lt;=P153)),"Yes","No"))</f>
        <v/>
      </c>
      <c r="Y153" s="20" t="str">
        <f aca="false">IF(A153="","",N(G153)-N(L153)-N(N153))</f>
        <v/>
      </c>
      <c r="Z153" s="21" t="str">
        <f aca="false">IF(OR(G153="",H153="",I153=""),"",ABS(H153-I153)*G153)</f>
        <v/>
      </c>
      <c r="AA153" s="22" t="str">
        <f aca="false">IF(OR(J153="",N(Z153)=0),"",ABS(J153-H153)/ABS(H153-I153))</f>
        <v/>
      </c>
      <c r="AB153" s="23" t="str">
        <f aca="false">IF(U153&lt;&gt;"Closed","",(N(L153)*N(M153)+N(N153)*N(O153)+Y153*Q153)/G153)</f>
        <v/>
      </c>
      <c r="AC153" s="24" t="str">
        <f aca="false">IF(U153&lt;&gt;"Closed","",IF($B153="Short",-1,1)*((N(M153)-H153)*N(L153)+(N(O153)-H153)*N(N153)+(Q153-H153)*Y153)-N(R153))</f>
        <v/>
      </c>
      <c r="AD153" s="25" t="str">
        <f aca="false">IF(OR(AC153="",N(Z153)=0),"",AC153/Z153)</f>
        <v/>
      </c>
      <c r="AE153" s="25" t="str">
        <f aca="false">IF(OR(S153="",N(Z153)=0),"",IF($B153="Short",-1,1)*(S153-H153)*G153/Z153)</f>
        <v/>
      </c>
      <c r="AF153" s="25" t="str">
        <f aca="false">IF(OR(T153="",N(Z153)=0),"",IF($B153="Short",-1,1)*(T153-H153)*G153/Z153)</f>
        <v/>
      </c>
      <c r="AG153" s="21" t="str">
        <f aca="false">IF(U153&lt;&gt;"Open","",Y153*MAX(0,IF($B153="Short",-1,1)*(H153-IF(K153="",I153,K153))))</f>
        <v/>
      </c>
      <c r="AH153" s="26" t="str">
        <f aca="false">IF(U153&lt;&gt;"Closed","",DATE(YEAR(P153),MONTH(P153),1))</f>
        <v/>
      </c>
      <c r="AI153" s="19" t="str">
        <f aca="false">IF(U153&lt;&gt;"Closed","",COUNTIFS($U$7:$U$506,"Closed",$P$7:$P$506,"&lt;"&amp;P153)+COUNTIFS($U$7:U153,"Closed",$P$7:P153,P153))</f>
        <v/>
      </c>
    </row>
    <row r="154" customFormat="false" ht="15" hidden="false" customHeight="false" outlineLevel="0" collapsed="false">
      <c r="A154" s="13"/>
      <c r="B154" s="48"/>
      <c r="C154" s="48"/>
      <c r="D154" s="48"/>
      <c r="E154" s="15"/>
      <c r="F154" s="15"/>
      <c r="G154" s="16"/>
      <c r="H154" s="17"/>
      <c r="I154" s="17"/>
      <c r="J154" s="17"/>
      <c r="K154" s="17"/>
      <c r="L154" s="16"/>
      <c r="M154" s="17"/>
      <c r="N154" s="16"/>
      <c r="O154" s="17"/>
      <c r="P154" s="15"/>
      <c r="Q154" s="17"/>
      <c r="R154" s="17"/>
      <c r="S154" s="17"/>
      <c r="T154" s="17"/>
      <c r="U154" s="18" t="str">
        <f aca="false">IF(A154="","",IF(N(G154)-N(L154)-N(N154)&lt;0,"Check shares",IF(AND(P154&lt;&gt;"",Q154&lt;&gt;""),"Closed","Open")))</f>
        <v/>
      </c>
      <c r="V154" s="19" t="str">
        <f aca="false">IF(OR(F154="",P154=""),"",NETWORKDAYS(F154,P154,Lists!$F$5:$F$40)-1)</f>
        <v/>
      </c>
      <c r="W154" s="18" t="str">
        <f aca="false">IF(V154="","",IF(V154=0,"Same day","Overnight"))</f>
        <v/>
      </c>
      <c r="X154" s="18" t="str">
        <f aca="false">IF(OR(E154="",F154=""),"",IF(AND(E154&gt;=F154,OR(P154="",E154&lt;=P154)),"Yes","No"))</f>
        <v/>
      </c>
      <c r="Y154" s="20" t="str">
        <f aca="false">IF(A154="","",N(G154)-N(L154)-N(N154))</f>
        <v/>
      </c>
      <c r="Z154" s="21" t="str">
        <f aca="false">IF(OR(G154="",H154="",I154=""),"",ABS(H154-I154)*G154)</f>
        <v/>
      </c>
      <c r="AA154" s="22" t="str">
        <f aca="false">IF(OR(J154="",N(Z154)=0),"",ABS(J154-H154)/ABS(H154-I154))</f>
        <v/>
      </c>
      <c r="AB154" s="23" t="str">
        <f aca="false">IF(U154&lt;&gt;"Closed","",(N(L154)*N(M154)+N(N154)*N(O154)+Y154*Q154)/G154)</f>
        <v/>
      </c>
      <c r="AC154" s="24" t="str">
        <f aca="false">IF(U154&lt;&gt;"Closed","",IF($B154="Short",-1,1)*((N(M154)-H154)*N(L154)+(N(O154)-H154)*N(N154)+(Q154-H154)*Y154)-N(R154))</f>
        <v/>
      </c>
      <c r="AD154" s="25" t="str">
        <f aca="false">IF(OR(AC154="",N(Z154)=0),"",AC154/Z154)</f>
        <v/>
      </c>
      <c r="AE154" s="25" t="str">
        <f aca="false">IF(OR(S154="",N(Z154)=0),"",IF($B154="Short",-1,1)*(S154-H154)*G154/Z154)</f>
        <v/>
      </c>
      <c r="AF154" s="25" t="str">
        <f aca="false">IF(OR(T154="",N(Z154)=0),"",IF($B154="Short",-1,1)*(T154-H154)*G154/Z154)</f>
        <v/>
      </c>
      <c r="AG154" s="21" t="str">
        <f aca="false">IF(U154&lt;&gt;"Open","",Y154*MAX(0,IF($B154="Short",-1,1)*(H154-IF(K154="",I154,K154))))</f>
        <v/>
      </c>
      <c r="AH154" s="26" t="str">
        <f aca="false">IF(U154&lt;&gt;"Closed","",DATE(YEAR(P154),MONTH(P154),1))</f>
        <v/>
      </c>
      <c r="AI154" s="19" t="str">
        <f aca="false">IF(U154&lt;&gt;"Closed","",COUNTIFS($U$7:$U$506,"Closed",$P$7:$P$506,"&lt;"&amp;P154)+COUNTIFS($U$7:U154,"Closed",$P$7:P154,P154))</f>
        <v/>
      </c>
    </row>
    <row r="155" customFormat="false" ht="15" hidden="false" customHeight="false" outlineLevel="0" collapsed="false">
      <c r="A155" s="13"/>
      <c r="B155" s="48"/>
      <c r="C155" s="48"/>
      <c r="D155" s="48"/>
      <c r="E155" s="15"/>
      <c r="F155" s="15"/>
      <c r="G155" s="16"/>
      <c r="H155" s="17"/>
      <c r="I155" s="17"/>
      <c r="J155" s="17"/>
      <c r="K155" s="17"/>
      <c r="L155" s="16"/>
      <c r="M155" s="17"/>
      <c r="N155" s="16"/>
      <c r="O155" s="17"/>
      <c r="P155" s="15"/>
      <c r="Q155" s="17"/>
      <c r="R155" s="17"/>
      <c r="S155" s="17"/>
      <c r="T155" s="17"/>
      <c r="U155" s="18" t="str">
        <f aca="false">IF(A155="","",IF(N(G155)-N(L155)-N(N155)&lt;0,"Check shares",IF(AND(P155&lt;&gt;"",Q155&lt;&gt;""),"Closed","Open")))</f>
        <v/>
      </c>
      <c r="V155" s="19" t="str">
        <f aca="false">IF(OR(F155="",P155=""),"",NETWORKDAYS(F155,P155,Lists!$F$5:$F$40)-1)</f>
        <v/>
      </c>
      <c r="W155" s="18" t="str">
        <f aca="false">IF(V155="","",IF(V155=0,"Same day","Overnight"))</f>
        <v/>
      </c>
      <c r="X155" s="18" t="str">
        <f aca="false">IF(OR(E155="",F155=""),"",IF(AND(E155&gt;=F155,OR(P155="",E155&lt;=P155)),"Yes","No"))</f>
        <v/>
      </c>
      <c r="Y155" s="20" t="str">
        <f aca="false">IF(A155="","",N(G155)-N(L155)-N(N155))</f>
        <v/>
      </c>
      <c r="Z155" s="21" t="str">
        <f aca="false">IF(OR(G155="",H155="",I155=""),"",ABS(H155-I155)*G155)</f>
        <v/>
      </c>
      <c r="AA155" s="22" t="str">
        <f aca="false">IF(OR(J155="",N(Z155)=0),"",ABS(J155-H155)/ABS(H155-I155))</f>
        <v/>
      </c>
      <c r="AB155" s="23" t="str">
        <f aca="false">IF(U155&lt;&gt;"Closed","",(N(L155)*N(M155)+N(N155)*N(O155)+Y155*Q155)/G155)</f>
        <v/>
      </c>
      <c r="AC155" s="24" t="str">
        <f aca="false">IF(U155&lt;&gt;"Closed","",IF($B155="Short",-1,1)*((N(M155)-H155)*N(L155)+(N(O155)-H155)*N(N155)+(Q155-H155)*Y155)-N(R155))</f>
        <v/>
      </c>
      <c r="AD155" s="25" t="str">
        <f aca="false">IF(OR(AC155="",N(Z155)=0),"",AC155/Z155)</f>
        <v/>
      </c>
      <c r="AE155" s="25" t="str">
        <f aca="false">IF(OR(S155="",N(Z155)=0),"",IF($B155="Short",-1,1)*(S155-H155)*G155/Z155)</f>
        <v/>
      </c>
      <c r="AF155" s="25" t="str">
        <f aca="false">IF(OR(T155="",N(Z155)=0),"",IF($B155="Short",-1,1)*(T155-H155)*G155/Z155)</f>
        <v/>
      </c>
      <c r="AG155" s="21" t="str">
        <f aca="false">IF(U155&lt;&gt;"Open","",Y155*MAX(0,IF($B155="Short",-1,1)*(H155-IF(K155="",I155,K155))))</f>
        <v/>
      </c>
      <c r="AH155" s="26" t="str">
        <f aca="false">IF(U155&lt;&gt;"Closed","",DATE(YEAR(P155),MONTH(P155),1))</f>
        <v/>
      </c>
      <c r="AI155" s="19" t="str">
        <f aca="false">IF(U155&lt;&gt;"Closed","",COUNTIFS($U$7:$U$506,"Closed",$P$7:$P$506,"&lt;"&amp;P155)+COUNTIFS($U$7:U155,"Closed",$P$7:P155,P155))</f>
        <v/>
      </c>
    </row>
    <row r="156" customFormat="false" ht="15" hidden="false" customHeight="false" outlineLevel="0" collapsed="false">
      <c r="A156" s="13"/>
      <c r="B156" s="48"/>
      <c r="C156" s="48"/>
      <c r="D156" s="48"/>
      <c r="E156" s="15"/>
      <c r="F156" s="15"/>
      <c r="G156" s="16"/>
      <c r="H156" s="17"/>
      <c r="I156" s="17"/>
      <c r="J156" s="17"/>
      <c r="K156" s="17"/>
      <c r="L156" s="16"/>
      <c r="M156" s="17"/>
      <c r="N156" s="16"/>
      <c r="O156" s="17"/>
      <c r="P156" s="15"/>
      <c r="Q156" s="17"/>
      <c r="R156" s="17"/>
      <c r="S156" s="17"/>
      <c r="T156" s="17"/>
      <c r="U156" s="18" t="str">
        <f aca="false">IF(A156="","",IF(N(G156)-N(L156)-N(N156)&lt;0,"Check shares",IF(AND(P156&lt;&gt;"",Q156&lt;&gt;""),"Closed","Open")))</f>
        <v/>
      </c>
      <c r="V156" s="19" t="str">
        <f aca="false">IF(OR(F156="",P156=""),"",NETWORKDAYS(F156,P156,Lists!$F$5:$F$40)-1)</f>
        <v/>
      </c>
      <c r="W156" s="18" t="str">
        <f aca="false">IF(V156="","",IF(V156=0,"Same day","Overnight"))</f>
        <v/>
      </c>
      <c r="X156" s="18" t="str">
        <f aca="false">IF(OR(E156="",F156=""),"",IF(AND(E156&gt;=F156,OR(P156="",E156&lt;=P156)),"Yes","No"))</f>
        <v/>
      </c>
      <c r="Y156" s="20" t="str">
        <f aca="false">IF(A156="","",N(G156)-N(L156)-N(N156))</f>
        <v/>
      </c>
      <c r="Z156" s="21" t="str">
        <f aca="false">IF(OR(G156="",H156="",I156=""),"",ABS(H156-I156)*G156)</f>
        <v/>
      </c>
      <c r="AA156" s="22" t="str">
        <f aca="false">IF(OR(J156="",N(Z156)=0),"",ABS(J156-H156)/ABS(H156-I156))</f>
        <v/>
      </c>
      <c r="AB156" s="23" t="str">
        <f aca="false">IF(U156&lt;&gt;"Closed","",(N(L156)*N(M156)+N(N156)*N(O156)+Y156*Q156)/G156)</f>
        <v/>
      </c>
      <c r="AC156" s="24" t="str">
        <f aca="false">IF(U156&lt;&gt;"Closed","",IF($B156="Short",-1,1)*((N(M156)-H156)*N(L156)+(N(O156)-H156)*N(N156)+(Q156-H156)*Y156)-N(R156))</f>
        <v/>
      </c>
      <c r="AD156" s="25" t="str">
        <f aca="false">IF(OR(AC156="",N(Z156)=0),"",AC156/Z156)</f>
        <v/>
      </c>
      <c r="AE156" s="25" t="str">
        <f aca="false">IF(OR(S156="",N(Z156)=0),"",IF($B156="Short",-1,1)*(S156-H156)*G156/Z156)</f>
        <v/>
      </c>
      <c r="AF156" s="25" t="str">
        <f aca="false">IF(OR(T156="",N(Z156)=0),"",IF($B156="Short",-1,1)*(T156-H156)*G156/Z156)</f>
        <v/>
      </c>
      <c r="AG156" s="21" t="str">
        <f aca="false">IF(U156&lt;&gt;"Open","",Y156*MAX(0,IF($B156="Short",-1,1)*(H156-IF(K156="",I156,K156))))</f>
        <v/>
      </c>
      <c r="AH156" s="26" t="str">
        <f aca="false">IF(U156&lt;&gt;"Closed","",DATE(YEAR(P156),MONTH(P156),1))</f>
        <v/>
      </c>
      <c r="AI156" s="19" t="str">
        <f aca="false">IF(U156&lt;&gt;"Closed","",COUNTIFS($U$7:$U$506,"Closed",$P$7:$P$506,"&lt;"&amp;P156)+COUNTIFS($U$7:U156,"Closed",$P$7:P156,P156))</f>
        <v/>
      </c>
    </row>
    <row r="157" customFormat="false" ht="15" hidden="false" customHeight="false" outlineLevel="0" collapsed="false">
      <c r="A157" s="13"/>
      <c r="B157" s="48"/>
      <c r="C157" s="48"/>
      <c r="D157" s="48"/>
      <c r="E157" s="15"/>
      <c r="F157" s="15"/>
      <c r="G157" s="16"/>
      <c r="H157" s="17"/>
      <c r="I157" s="17"/>
      <c r="J157" s="17"/>
      <c r="K157" s="17"/>
      <c r="L157" s="16"/>
      <c r="M157" s="17"/>
      <c r="N157" s="16"/>
      <c r="O157" s="17"/>
      <c r="P157" s="15"/>
      <c r="Q157" s="17"/>
      <c r="R157" s="17"/>
      <c r="S157" s="17"/>
      <c r="T157" s="17"/>
      <c r="U157" s="18" t="str">
        <f aca="false">IF(A157="","",IF(N(G157)-N(L157)-N(N157)&lt;0,"Check shares",IF(AND(P157&lt;&gt;"",Q157&lt;&gt;""),"Closed","Open")))</f>
        <v/>
      </c>
      <c r="V157" s="19" t="str">
        <f aca="false">IF(OR(F157="",P157=""),"",NETWORKDAYS(F157,P157,Lists!$F$5:$F$40)-1)</f>
        <v/>
      </c>
      <c r="W157" s="18" t="str">
        <f aca="false">IF(V157="","",IF(V157=0,"Same day","Overnight"))</f>
        <v/>
      </c>
      <c r="X157" s="18" t="str">
        <f aca="false">IF(OR(E157="",F157=""),"",IF(AND(E157&gt;=F157,OR(P157="",E157&lt;=P157)),"Yes","No"))</f>
        <v/>
      </c>
      <c r="Y157" s="20" t="str">
        <f aca="false">IF(A157="","",N(G157)-N(L157)-N(N157))</f>
        <v/>
      </c>
      <c r="Z157" s="21" t="str">
        <f aca="false">IF(OR(G157="",H157="",I157=""),"",ABS(H157-I157)*G157)</f>
        <v/>
      </c>
      <c r="AA157" s="22" t="str">
        <f aca="false">IF(OR(J157="",N(Z157)=0),"",ABS(J157-H157)/ABS(H157-I157))</f>
        <v/>
      </c>
      <c r="AB157" s="23" t="str">
        <f aca="false">IF(U157&lt;&gt;"Closed","",(N(L157)*N(M157)+N(N157)*N(O157)+Y157*Q157)/G157)</f>
        <v/>
      </c>
      <c r="AC157" s="24" t="str">
        <f aca="false">IF(U157&lt;&gt;"Closed","",IF($B157="Short",-1,1)*((N(M157)-H157)*N(L157)+(N(O157)-H157)*N(N157)+(Q157-H157)*Y157)-N(R157))</f>
        <v/>
      </c>
      <c r="AD157" s="25" t="str">
        <f aca="false">IF(OR(AC157="",N(Z157)=0),"",AC157/Z157)</f>
        <v/>
      </c>
      <c r="AE157" s="25" t="str">
        <f aca="false">IF(OR(S157="",N(Z157)=0),"",IF($B157="Short",-1,1)*(S157-H157)*G157/Z157)</f>
        <v/>
      </c>
      <c r="AF157" s="25" t="str">
        <f aca="false">IF(OR(T157="",N(Z157)=0),"",IF($B157="Short",-1,1)*(T157-H157)*G157/Z157)</f>
        <v/>
      </c>
      <c r="AG157" s="21" t="str">
        <f aca="false">IF(U157&lt;&gt;"Open","",Y157*MAX(0,IF($B157="Short",-1,1)*(H157-IF(K157="",I157,K157))))</f>
        <v/>
      </c>
      <c r="AH157" s="26" t="str">
        <f aca="false">IF(U157&lt;&gt;"Closed","",DATE(YEAR(P157),MONTH(P157),1))</f>
        <v/>
      </c>
      <c r="AI157" s="19" t="str">
        <f aca="false">IF(U157&lt;&gt;"Closed","",COUNTIFS($U$7:$U$506,"Closed",$P$7:$P$506,"&lt;"&amp;P157)+COUNTIFS($U$7:U157,"Closed",$P$7:P157,P157))</f>
        <v/>
      </c>
    </row>
    <row r="158" customFormat="false" ht="15" hidden="false" customHeight="false" outlineLevel="0" collapsed="false">
      <c r="A158" s="13"/>
      <c r="B158" s="48"/>
      <c r="C158" s="48"/>
      <c r="D158" s="48"/>
      <c r="E158" s="15"/>
      <c r="F158" s="15"/>
      <c r="G158" s="16"/>
      <c r="H158" s="17"/>
      <c r="I158" s="17"/>
      <c r="J158" s="17"/>
      <c r="K158" s="17"/>
      <c r="L158" s="16"/>
      <c r="M158" s="17"/>
      <c r="N158" s="16"/>
      <c r="O158" s="17"/>
      <c r="P158" s="15"/>
      <c r="Q158" s="17"/>
      <c r="R158" s="17"/>
      <c r="S158" s="17"/>
      <c r="T158" s="17"/>
      <c r="U158" s="18" t="str">
        <f aca="false">IF(A158="","",IF(N(G158)-N(L158)-N(N158)&lt;0,"Check shares",IF(AND(P158&lt;&gt;"",Q158&lt;&gt;""),"Closed","Open")))</f>
        <v/>
      </c>
      <c r="V158" s="19" t="str">
        <f aca="false">IF(OR(F158="",P158=""),"",NETWORKDAYS(F158,P158,Lists!$F$5:$F$40)-1)</f>
        <v/>
      </c>
      <c r="W158" s="18" t="str">
        <f aca="false">IF(V158="","",IF(V158=0,"Same day","Overnight"))</f>
        <v/>
      </c>
      <c r="X158" s="18" t="str">
        <f aca="false">IF(OR(E158="",F158=""),"",IF(AND(E158&gt;=F158,OR(P158="",E158&lt;=P158)),"Yes","No"))</f>
        <v/>
      </c>
      <c r="Y158" s="20" t="str">
        <f aca="false">IF(A158="","",N(G158)-N(L158)-N(N158))</f>
        <v/>
      </c>
      <c r="Z158" s="21" t="str">
        <f aca="false">IF(OR(G158="",H158="",I158=""),"",ABS(H158-I158)*G158)</f>
        <v/>
      </c>
      <c r="AA158" s="22" t="str">
        <f aca="false">IF(OR(J158="",N(Z158)=0),"",ABS(J158-H158)/ABS(H158-I158))</f>
        <v/>
      </c>
      <c r="AB158" s="23" t="str">
        <f aca="false">IF(U158&lt;&gt;"Closed","",(N(L158)*N(M158)+N(N158)*N(O158)+Y158*Q158)/G158)</f>
        <v/>
      </c>
      <c r="AC158" s="24" t="str">
        <f aca="false">IF(U158&lt;&gt;"Closed","",IF($B158="Short",-1,1)*((N(M158)-H158)*N(L158)+(N(O158)-H158)*N(N158)+(Q158-H158)*Y158)-N(R158))</f>
        <v/>
      </c>
      <c r="AD158" s="25" t="str">
        <f aca="false">IF(OR(AC158="",N(Z158)=0),"",AC158/Z158)</f>
        <v/>
      </c>
      <c r="AE158" s="25" t="str">
        <f aca="false">IF(OR(S158="",N(Z158)=0),"",IF($B158="Short",-1,1)*(S158-H158)*G158/Z158)</f>
        <v/>
      </c>
      <c r="AF158" s="25" t="str">
        <f aca="false">IF(OR(T158="",N(Z158)=0),"",IF($B158="Short",-1,1)*(T158-H158)*G158/Z158)</f>
        <v/>
      </c>
      <c r="AG158" s="21" t="str">
        <f aca="false">IF(U158&lt;&gt;"Open","",Y158*MAX(0,IF($B158="Short",-1,1)*(H158-IF(K158="",I158,K158))))</f>
        <v/>
      </c>
      <c r="AH158" s="26" t="str">
        <f aca="false">IF(U158&lt;&gt;"Closed","",DATE(YEAR(P158),MONTH(P158),1))</f>
        <v/>
      </c>
      <c r="AI158" s="19" t="str">
        <f aca="false">IF(U158&lt;&gt;"Closed","",COUNTIFS($U$7:$U$506,"Closed",$P$7:$P$506,"&lt;"&amp;P158)+COUNTIFS($U$7:U158,"Closed",$P$7:P158,P158))</f>
        <v/>
      </c>
    </row>
    <row r="159" customFormat="false" ht="15" hidden="false" customHeight="false" outlineLevel="0" collapsed="false">
      <c r="A159" s="13"/>
      <c r="B159" s="48"/>
      <c r="C159" s="48"/>
      <c r="D159" s="48"/>
      <c r="E159" s="15"/>
      <c r="F159" s="15"/>
      <c r="G159" s="16"/>
      <c r="H159" s="17"/>
      <c r="I159" s="17"/>
      <c r="J159" s="17"/>
      <c r="K159" s="17"/>
      <c r="L159" s="16"/>
      <c r="M159" s="17"/>
      <c r="N159" s="16"/>
      <c r="O159" s="17"/>
      <c r="P159" s="15"/>
      <c r="Q159" s="17"/>
      <c r="R159" s="17"/>
      <c r="S159" s="17"/>
      <c r="T159" s="17"/>
      <c r="U159" s="18" t="str">
        <f aca="false">IF(A159="","",IF(N(G159)-N(L159)-N(N159)&lt;0,"Check shares",IF(AND(P159&lt;&gt;"",Q159&lt;&gt;""),"Closed","Open")))</f>
        <v/>
      </c>
      <c r="V159" s="19" t="str">
        <f aca="false">IF(OR(F159="",P159=""),"",NETWORKDAYS(F159,P159,Lists!$F$5:$F$40)-1)</f>
        <v/>
      </c>
      <c r="W159" s="18" t="str">
        <f aca="false">IF(V159="","",IF(V159=0,"Same day","Overnight"))</f>
        <v/>
      </c>
      <c r="X159" s="18" t="str">
        <f aca="false">IF(OR(E159="",F159=""),"",IF(AND(E159&gt;=F159,OR(P159="",E159&lt;=P159)),"Yes","No"))</f>
        <v/>
      </c>
      <c r="Y159" s="20" t="str">
        <f aca="false">IF(A159="","",N(G159)-N(L159)-N(N159))</f>
        <v/>
      </c>
      <c r="Z159" s="21" t="str">
        <f aca="false">IF(OR(G159="",H159="",I159=""),"",ABS(H159-I159)*G159)</f>
        <v/>
      </c>
      <c r="AA159" s="22" t="str">
        <f aca="false">IF(OR(J159="",N(Z159)=0),"",ABS(J159-H159)/ABS(H159-I159))</f>
        <v/>
      </c>
      <c r="AB159" s="23" t="str">
        <f aca="false">IF(U159&lt;&gt;"Closed","",(N(L159)*N(M159)+N(N159)*N(O159)+Y159*Q159)/G159)</f>
        <v/>
      </c>
      <c r="AC159" s="24" t="str">
        <f aca="false">IF(U159&lt;&gt;"Closed","",IF($B159="Short",-1,1)*((N(M159)-H159)*N(L159)+(N(O159)-H159)*N(N159)+(Q159-H159)*Y159)-N(R159))</f>
        <v/>
      </c>
      <c r="AD159" s="25" t="str">
        <f aca="false">IF(OR(AC159="",N(Z159)=0),"",AC159/Z159)</f>
        <v/>
      </c>
      <c r="AE159" s="25" t="str">
        <f aca="false">IF(OR(S159="",N(Z159)=0),"",IF($B159="Short",-1,1)*(S159-H159)*G159/Z159)</f>
        <v/>
      </c>
      <c r="AF159" s="25" t="str">
        <f aca="false">IF(OR(T159="",N(Z159)=0),"",IF($B159="Short",-1,1)*(T159-H159)*G159/Z159)</f>
        <v/>
      </c>
      <c r="AG159" s="21" t="str">
        <f aca="false">IF(U159&lt;&gt;"Open","",Y159*MAX(0,IF($B159="Short",-1,1)*(H159-IF(K159="",I159,K159))))</f>
        <v/>
      </c>
      <c r="AH159" s="26" t="str">
        <f aca="false">IF(U159&lt;&gt;"Closed","",DATE(YEAR(P159),MONTH(P159),1))</f>
        <v/>
      </c>
      <c r="AI159" s="19" t="str">
        <f aca="false">IF(U159&lt;&gt;"Closed","",COUNTIFS($U$7:$U$506,"Closed",$P$7:$P$506,"&lt;"&amp;P159)+COUNTIFS($U$7:U159,"Closed",$P$7:P159,P159))</f>
        <v/>
      </c>
    </row>
    <row r="160" customFormat="false" ht="15" hidden="false" customHeight="false" outlineLevel="0" collapsed="false">
      <c r="A160" s="13"/>
      <c r="B160" s="48"/>
      <c r="C160" s="48"/>
      <c r="D160" s="48"/>
      <c r="E160" s="15"/>
      <c r="F160" s="15"/>
      <c r="G160" s="16"/>
      <c r="H160" s="17"/>
      <c r="I160" s="17"/>
      <c r="J160" s="17"/>
      <c r="K160" s="17"/>
      <c r="L160" s="16"/>
      <c r="M160" s="17"/>
      <c r="N160" s="16"/>
      <c r="O160" s="17"/>
      <c r="P160" s="15"/>
      <c r="Q160" s="17"/>
      <c r="R160" s="17"/>
      <c r="S160" s="17"/>
      <c r="T160" s="17"/>
      <c r="U160" s="18" t="str">
        <f aca="false">IF(A160="","",IF(N(G160)-N(L160)-N(N160)&lt;0,"Check shares",IF(AND(P160&lt;&gt;"",Q160&lt;&gt;""),"Closed","Open")))</f>
        <v/>
      </c>
      <c r="V160" s="19" t="str">
        <f aca="false">IF(OR(F160="",P160=""),"",NETWORKDAYS(F160,P160,Lists!$F$5:$F$40)-1)</f>
        <v/>
      </c>
      <c r="W160" s="18" t="str">
        <f aca="false">IF(V160="","",IF(V160=0,"Same day","Overnight"))</f>
        <v/>
      </c>
      <c r="X160" s="18" t="str">
        <f aca="false">IF(OR(E160="",F160=""),"",IF(AND(E160&gt;=F160,OR(P160="",E160&lt;=P160)),"Yes","No"))</f>
        <v/>
      </c>
      <c r="Y160" s="20" t="str">
        <f aca="false">IF(A160="","",N(G160)-N(L160)-N(N160))</f>
        <v/>
      </c>
      <c r="Z160" s="21" t="str">
        <f aca="false">IF(OR(G160="",H160="",I160=""),"",ABS(H160-I160)*G160)</f>
        <v/>
      </c>
      <c r="AA160" s="22" t="str">
        <f aca="false">IF(OR(J160="",N(Z160)=0),"",ABS(J160-H160)/ABS(H160-I160))</f>
        <v/>
      </c>
      <c r="AB160" s="23" t="str">
        <f aca="false">IF(U160&lt;&gt;"Closed","",(N(L160)*N(M160)+N(N160)*N(O160)+Y160*Q160)/G160)</f>
        <v/>
      </c>
      <c r="AC160" s="24" t="str">
        <f aca="false">IF(U160&lt;&gt;"Closed","",IF($B160="Short",-1,1)*((N(M160)-H160)*N(L160)+(N(O160)-H160)*N(N160)+(Q160-H160)*Y160)-N(R160))</f>
        <v/>
      </c>
      <c r="AD160" s="25" t="str">
        <f aca="false">IF(OR(AC160="",N(Z160)=0),"",AC160/Z160)</f>
        <v/>
      </c>
      <c r="AE160" s="25" t="str">
        <f aca="false">IF(OR(S160="",N(Z160)=0),"",IF($B160="Short",-1,1)*(S160-H160)*G160/Z160)</f>
        <v/>
      </c>
      <c r="AF160" s="25" t="str">
        <f aca="false">IF(OR(T160="",N(Z160)=0),"",IF($B160="Short",-1,1)*(T160-H160)*G160/Z160)</f>
        <v/>
      </c>
      <c r="AG160" s="21" t="str">
        <f aca="false">IF(U160&lt;&gt;"Open","",Y160*MAX(0,IF($B160="Short",-1,1)*(H160-IF(K160="",I160,K160))))</f>
        <v/>
      </c>
      <c r="AH160" s="26" t="str">
        <f aca="false">IF(U160&lt;&gt;"Closed","",DATE(YEAR(P160),MONTH(P160),1))</f>
        <v/>
      </c>
      <c r="AI160" s="19" t="str">
        <f aca="false">IF(U160&lt;&gt;"Closed","",COUNTIFS($U$7:$U$506,"Closed",$P$7:$P$506,"&lt;"&amp;P160)+COUNTIFS($U$7:U160,"Closed",$P$7:P160,P160))</f>
        <v/>
      </c>
    </row>
    <row r="161" customFormat="false" ht="15" hidden="false" customHeight="false" outlineLevel="0" collapsed="false">
      <c r="A161" s="13"/>
      <c r="B161" s="48"/>
      <c r="C161" s="48"/>
      <c r="D161" s="48"/>
      <c r="E161" s="15"/>
      <c r="F161" s="15"/>
      <c r="G161" s="16"/>
      <c r="H161" s="17"/>
      <c r="I161" s="17"/>
      <c r="J161" s="17"/>
      <c r="K161" s="17"/>
      <c r="L161" s="16"/>
      <c r="M161" s="17"/>
      <c r="N161" s="16"/>
      <c r="O161" s="17"/>
      <c r="P161" s="15"/>
      <c r="Q161" s="17"/>
      <c r="R161" s="17"/>
      <c r="S161" s="17"/>
      <c r="T161" s="17"/>
      <c r="U161" s="18" t="str">
        <f aca="false">IF(A161="","",IF(N(G161)-N(L161)-N(N161)&lt;0,"Check shares",IF(AND(P161&lt;&gt;"",Q161&lt;&gt;""),"Closed","Open")))</f>
        <v/>
      </c>
      <c r="V161" s="19" t="str">
        <f aca="false">IF(OR(F161="",P161=""),"",NETWORKDAYS(F161,P161,Lists!$F$5:$F$40)-1)</f>
        <v/>
      </c>
      <c r="W161" s="18" t="str">
        <f aca="false">IF(V161="","",IF(V161=0,"Same day","Overnight"))</f>
        <v/>
      </c>
      <c r="X161" s="18" t="str">
        <f aca="false">IF(OR(E161="",F161=""),"",IF(AND(E161&gt;=F161,OR(P161="",E161&lt;=P161)),"Yes","No"))</f>
        <v/>
      </c>
      <c r="Y161" s="20" t="str">
        <f aca="false">IF(A161="","",N(G161)-N(L161)-N(N161))</f>
        <v/>
      </c>
      <c r="Z161" s="21" t="str">
        <f aca="false">IF(OR(G161="",H161="",I161=""),"",ABS(H161-I161)*G161)</f>
        <v/>
      </c>
      <c r="AA161" s="22" t="str">
        <f aca="false">IF(OR(J161="",N(Z161)=0),"",ABS(J161-H161)/ABS(H161-I161))</f>
        <v/>
      </c>
      <c r="AB161" s="23" t="str">
        <f aca="false">IF(U161&lt;&gt;"Closed","",(N(L161)*N(M161)+N(N161)*N(O161)+Y161*Q161)/G161)</f>
        <v/>
      </c>
      <c r="AC161" s="24" t="str">
        <f aca="false">IF(U161&lt;&gt;"Closed","",IF($B161="Short",-1,1)*((N(M161)-H161)*N(L161)+(N(O161)-H161)*N(N161)+(Q161-H161)*Y161)-N(R161))</f>
        <v/>
      </c>
      <c r="AD161" s="25" t="str">
        <f aca="false">IF(OR(AC161="",N(Z161)=0),"",AC161/Z161)</f>
        <v/>
      </c>
      <c r="AE161" s="25" t="str">
        <f aca="false">IF(OR(S161="",N(Z161)=0),"",IF($B161="Short",-1,1)*(S161-H161)*G161/Z161)</f>
        <v/>
      </c>
      <c r="AF161" s="25" t="str">
        <f aca="false">IF(OR(T161="",N(Z161)=0),"",IF($B161="Short",-1,1)*(T161-H161)*G161/Z161)</f>
        <v/>
      </c>
      <c r="AG161" s="21" t="str">
        <f aca="false">IF(U161&lt;&gt;"Open","",Y161*MAX(0,IF($B161="Short",-1,1)*(H161-IF(K161="",I161,K161))))</f>
        <v/>
      </c>
      <c r="AH161" s="26" t="str">
        <f aca="false">IF(U161&lt;&gt;"Closed","",DATE(YEAR(P161),MONTH(P161),1))</f>
        <v/>
      </c>
      <c r="AI161" s="19" t="str">
        <f aca="false">IF(U161&lt;&gt;"Closed","",COUNTIFS($U$7:$U$506,"Closed",$P$7:$P$506,"&lt;"&amp;P161)+COUNTIFS($U$7:U161,"Closed",$P$7:P161,P161))</f>
        <v/>
      </c>
    </row>
    <row r="162" customFormat="false" ht="15" hidden="false" customHeight="false" outlineLevel="0" collapsed="false">
      <c r="A162" s="13"/>
      <c r="B162" s="48"/>
      <c r="C162" s="48"/>
      <c r="D162" s="48"/>
      <c r="E162" s="15"/>
      <c r="F162" s="15"/>
      <c r="G162" s="16"/>
      <c r="H162" s="17"/>
      <c r="I162" s="17"/>
      <c r="J162" s="17"/>
      <c r="K162" s="17"/>
      <c r="L162" s="16"/>
      <c r="M162" s="17"/>
      <c r="N162" s="16"/>
      <c r="O162" s="17"/>
      <c r="P162" s="15"/>
      <c r="Q162" s="17"/>
      <c r="R162" s="17"/>
      <c r="S162" s="17"/>
      <c r="T162" s="17"/>
      <c r="U162" s="18" t="str">
        <f aca="false">IF(A162="","",IF(N(G162)-N(L162)-N(N162)&lt;0,"Check shares",IF(AND(P162&lt;&gt;"",Q162&lt;&gt;""),"Closed","Open")))</f>
        <v/>
      </c>
      <c r="V162" s="19" t="str">
        <f aca="false">IF(OR(F162="",P162=""),"",NETWORKDAYS(F162,P162,Lists!$F$5:$F$40)-1)</f>
        <v/>
      </c>
      <c r="W162" s="18" t="str">
        <f aca="false">IF(V162="","",IF(V162=0,"Same day","Overnight"))</f>
        <v/>
      </c>
      <c r="X162" s="18" t="str">
        <f aca="false">IF(OR(E162="",F162=""),"",IF(AND(E162&gt;=F162,OR(P162="",E162&lt;=P162)),"Yes","No"))</f>
        <v/>
      </c>
      <c r="Y162" s="20" t="str">
        <f aca="false">IF(A162="","",N(G162)-N(L162)-N(N162))</f>
        <v/>
      </c>
      <c r="Z162" s="21" t="str">
        <f aca="false">IF(OR(G162="",H162="",I162=""),"",ABS(H162-I162)*G162)</f>
        <v/>
      </c>
      <c r="AA162" s="22" t="str">
        <f aca="false">IF(OR(J162="",N(Z162)=0),"",ABS(J162-H162)/ABS(H162-I162))</f>
        <v/>
      </c>
      <c r="AB162" s="23" t="str">
        <f aca="false">IF(U162&lt;&gt;"Closed","",(N(L162)*N(M162)+N(N162)*N(O162)+Y162*Q162)/G162)</f>
        <v/>
      </c>
      <c r="AC162" s="24" t="str">
        <f aca="false">IF(U162&lt;&gt;"Closed","",IF($B162="Short",-1,1)*((N(M162)-H162)*N(L162)+(N(O162)-H162)*N(N162)+(Q162-H162)*Y162)-N(R162))</f>
        <v/>
      </c>
      <c r="AD162" s="25" t="str">
        <f aca="false">IF(OR(AC162="",N(Z162)=0),"",AC162/Z162)</f>
        <v/>
      </c>
      <c r="AE162" s="25" t="str">
        <f aca="false">IF(OR(S162="",N(Z162)=0),"",IF($B162="Short",-1,1)*(S162-H162)*G162/Z162)</f>
        <v/>
      </c>
      <c r="AF162" s="25" t="str">
        <f aca="false">IF(OR(T162="",N(Z162)=0),"",IF($B162="Short",-1,1)*(T162-H162)*G162/Z162)</f>
        <v/>
      </c>
      <c r="AG162" s="21" t="str">
        <f aca="false">IF(U162&lt;&gt;"Open","",Y162*MAX(0,IF($B162="Short",-1,1)*(H162-IF(K162="",I162,K162))))</f>
        <v/>
      </c>
      <c r="AH162" s="26" t="str">
        <f aca="false">IF(U162&lt;&gt;"Closed","",DATE(YEAR(P162),MONTH(P162),1))</f>
        <v/>
      </c>
      <c r="AI162" s="19" t="str">
        <f aca="false">IF(U162&lt;&gt;"Closed","",COUNTIFS($U$7:$U$506,"Closed",$P$7:$P$506,"&lt;"&amp;P162)+COUNTIFS($U$7:U162,"Closed",$P$7:P162,P162))</f>
        <v/>
      </c>
    </row>
    <row r="163" customFormat="false" ht="15" hidden="false" customHeight="false" outlineLevel="0" collapsed="false">
      <c r="A163" s="13"/>
      <c r="B163" s="48"/>
      <c r="C163" s="48"/>
      <c r="D163" s="48"/>
      <c r="E163" s="15"/>
      <c r="F163" s="15"/>
      <c r="G163" s="16"/>
      <c r="H163" s="17"/>
      <c r="I163" s="17"/>
      <c r="J163" s="17"/>
      <c r="K163" s="17"/>
      <c r="L163" s="16"/>
      <c r="M163" s="17"/>
      <c r="N163" s="16"/>
      <c r="O163" s="17"/>
      <c r="P163" s="15"/>
      <c r="Q163" s="17"/>
      <c r="R163" s="17"/>
      <c r="S163" s="17"/>
      <c r="T163" s="17"/>
      <c r="U163" s="18" t="str">
        <f aca="false">IF(A163="","",IF(N(G163)-N(L163)-N(N163)&lt;0,"Check shares",IF(AND(P163&lt;&gt;"",Q163&lt;&gt;""),"Closed","Open")))</f>
        <v/>
      </c>
      <c r="V163" s="19" t="str">
        <f aca="false">IF(OR(F163="",P163=""),"",NETWORKDAYS(F163,P163,Lists!$F$5:$F$40)-1)</f>
        <v/>
      </c>
      <c r="W163" s="18" t="str">
        <f aca="false">IF(V163="","",IF(V163=0,"Same day","Overnight"))</f>
        <v/>
      </c>
      <c r="X163" s="18" t="str">
        <f aca="false">IF(OR(E163="",F163=""),"",IF(AND(E163&gt;=F163,OR(P163="",E163&lt;=P163)),"Yes","No"))</f>
        <v/>
      </c>
      <c r="Y163" s="20" t="str">
        <f aca="false">IF(A163="","",N(G163)-N(L163)-N(N163))</f>
        <v/>
      </c>
      <c r="Z163" s="21" t="str">
        <f aca="false">IF(OR(G163="",H163="",I163=""),"",ABS(H163-I163)*G163)</f>
        <v/>
      </c>
      <c r="AA163" s="22" t="str">
        <f aca="false">IF(OR(J163="",N(Z163)=0),"",ABS(J163-H163)/ABS(H163-I163))</f>
        <v/>
      </c>
      <c r="AB163" s="23" t="str">
        <f aca="false">IF(U163&lt;&gt;"Closed","",(N(L163)*N(M163)+N(N163)*N(O163)+Y163*Q163)/G163)</f>
        <v/>
      </c>
      <c r="AC163" s="24" t="str">
        <f aca="false">IF(U163&lt;&gt;"Closed","",IF($B163="Short",-1,1)*((N(M163)-H163)*N(L163)+(N(O163)-H163)*N(N163)+(Q163-H163)*Y163)-N(R163))</f>
        <v/>
      </c>
      <c r="AD163" s="25" t="str">
        <f aca="false">IF(OR(AC163="",N(Z163)=0),"",AC163/Z163)</f>
        <v/>
      </c>
      <c r="AE163" s="25" t="str">
        <f aca="false">IF(OR(S163="",N(Z163)=0),"",IF($B163="Short",-1,1)*(S163-H163)*G163/Z163)</f>
        <v/>
      </c>
      <c r="AF163" s="25" t="str">
        <f aca="false">IF(OR(T163="",N(Z163)=0),"",IF($B163="Short",-1,1)*(T163-H163)*G163/Z163)</f>
        <v/>
      </c>
      <c r="AG163" s="21" t="str">
        <f aca="false">IF(U163&lt;&gt;"Open","",Y163*MAX(0,IF($B163="Short",-1,1)*(H163-IF(K163="",I163,K163))))</f>
        <v/>
      </c>
      <c r="AH163" s="26" t="str">
        <f aca="false">IF(U163&lt;&gt;"Closed","",DATE(YEAR(P163),MONTH(P163),1))</f>
        <v/>
      </c>
      <c r="AI163" s="19" t="str">
        <f aca="false">IF(U163&lt;&gt;"Closed","",COUNTIFS($U$7:$U$506,"Closed",$P$7:$P$506,"&lt;"&amp;P163)+COUNTIFS($U$7:U163,"Closed",$P$7:P163,P163))</f>
        <v/>
      </c>
    </row>
    <row r="164" customFormat="false" ht="15" hidden="false" customHeight="false" outlineLevel="0" collapsed="false">
      <c r="A164" s="13"/>
      <c r="B164" s="48"/>
      <c r="C164" s="48"/>
      <c r="D164" s="48"/>
      <c r="E164" s="15"/>
      <c r="F164" s="15"/>
      <c r="G164" s="16"/>
      <c r="H164" s="17"/>
      <c r="I164" s="17"/>
      <c r="J164" s="17"/>
      <c r="K164" s="17"/>
      <c r="L164" s="16"/>
      <c r="M164" s="17"/>
      <c r="N164" s="16"/>
      <c r="O164" s="17"/>
      <c r="P164" s="15"/>
      <c r="Q164" s="17"/>
      <c r="R164" s="17"/>
      <c r="S164" s="17"/>
      <c r="T164" s="17"/>
      <c r="U164" s="18" t="str">
        <f aca="false">IF(A164="","",IF(N(G164)-N(L164)-N(N164)&lt;0,"Check shares",IF(AND(P164&lt;&gt;"",Q164&lt;&gt;""),"Closed","Open")))</f>
        <v/>
      </c>
      <c r="V164" s="19" t="str">
        <f aca="false">IF(OR(F164="",P164=""),"",NETWORKDAYS(F164,P164,Lists!$F$5:$F$40)-1)</f>
        <v/>
      </c>
      <c r="W164" s="18" t="str">
        <f aca="false">IF(V164="","",IF(V164=0,"Same day","Overnight"))</f>
        <v/>
      </c>
      <c r="X164" s="18" t="str">
        <f aca="false">IF(OR(E164="",F164=""),"",IF(AND(E164&gt;=F164,OR(P164="",E164&lt;=P164)),"Yes","No"))</f>
        <v/>
      </c>
      <c r="Y164" s="20" t="str">
        <f aca="false">IF(A164="","",N(G164)-N(L164)-N(N164))</f>
        <v/>
      </c>
      <c r="Z164" s="21" t="str">
        <f aca="false">IF(OR(G164="",H164="",I164=""),"",ABS(H164-I164)*G164)</f>
        <v/>
      </c>
      <c r="AA164" s="22" t="str">
        <f aca="false">IF(OR(J164="",N(Z164)=0),"",ABS(J164-H164)/ABS(H164-I164))</f>
        <v/>
      </c>
      <c r="AB164" s="23" t="str">
        <f aca="false">IF(U164&lt;&gt;"Closed","",(N(L164)*N(M164)+N(N164)*N(O164)+Y164*Q164)/G164)</f>
        <v/>
      </c>
      <c r="AC164" s="24" t="str">
        <f aca="false">IF(U164&lt;&gt;"Closed","",IF($B164="Short",-1,1)*((N(M164)-H164)*N(L164)+(N(O164)-H164)*N(N164)+(Q164-H164)*Y164)-N(R164))</f>
        <v/>
      </c>
      <c r="AD164" s="25" t="str">
        <f aca="false">IF(OR(AC164="",N(Z164)=0),"",AC164/Z164)</f>
        <v/>
      </c>
      <c r="AE164" s="25" t="str">
        <f aca="false">IF(OR(S164="",N(Z164)=0),"",IF($B164="Short",-1,1)*(S164-H164)*G164/Z164)</f>
        <v/>
      </c>
      <c r="AF164" s="25" t="str">
        <f aca="false">IF(OR(T164="",N(Z164)=0),"",IF($B164="Short",-1,1)*(T164-H164)*G164/Z164)</f>
        <v/>
      </c>
      <c r="AG164" s="21" t="str">
        <f aca="false">IF(U164&lt;&gt;"Open","",Y164*MAX(0,IF($B164="Short",-1,1)*(H164-IF(K164="",I164,K164))))</f>
        <v/>
      </c>
      <c r="AH164" s="26" t="str">
        <f aca="false">IF(U164&lt;&gt;"Closed","",DATE(YEAR(P164),MONTH(P164),1))</f>
        <v/>
      </c>
      <c r="AI164" s="19" t="str">
        <f aca="false">IF(U164&lt;&gt;"Closed","",COUNTIFS($U$7:$U$506,"Closed",$P$7:$P$506,"&lt;"&amp;P164)+COUNTIFS($U$7:U164,"Closed",$P$7:P164,P164))</f>
        <v/>
      </c>
    </row>
    <row r="165" customFormat="false" ht="15" hidden="false" customHeight="false" outlineLevel="0" collapsed="false">
      <c r="A165" s="13"/>
      <c r="B165" s="48"/>
      <c r="C165" s="48"/>
      <c r="D165" s="48"/>
      <c r="E165" s="15"/>
      <c r="F165" s="15"/>
      <c r="G165" s="16"/>
      <c r="H165" s="17"/>
      <c r="I165" s="17"/>
      <c r="J165" s="17"/>
      <c r="K165" s="17"/>
      <c r="L165" s="16"/>
      <c r="M165" s="17"/>
      <c r="N165" s="16"/>
      <c r="O165" s="17"/>
      <c r="P165" s="15"/>
      <c r="Q165" s="17"/>
      <c r="R165" s="17"/>
      <c r="S165" s="17"/>
      <c r="T165" s="17"/>
      <c r="U165" s="18" t="str">
        <f aca="false">IF(A165="","",IF(N(G165)-N(L165)-N(N165)&lt;0,"Check shares",IF(AND(P165&lt;&gt;"",Q165&lt;&gt;""),"Closed","Open")))</f>
        <v/>
      </c>
      <c r="V165" s="19" t="str">
        <f aca="false">IF(OR(F165="",P165=""),"",NETWORKDAYS(F165,P165,Lists!$F$5:$F$40)-1)</f>
        <v/>
      </c>
      <c r="W165" s="18" t="str">
        <f aca="false">IF(V165="","",IF(V165=0,"Same day","Overnight"))</f>
        <v/>
      </c>
      <c r="X165" s="18" t="str">
        <f aca="false">IF(OR(E165="",F165=""),"",IF(AND(E165&gt;=F165,OR(P165="",E165&lt;=P165)),"Yes","No"))</f>
        <v/>
      </c>
      <c r="Y165" s="20" t="str">
        <f aca="false">IF(A165="","",N(G165)-N(L165)-N(N165))</f>
        <v/>
      </c>
      <c r="Z165" s="21" t="str">
        <f aca="false">IF(OR(G165="",H165="",I165=""),"",ABS(H165-I165)*G165)</f>
        <v/>
      </c>
      <c r="AA165" s="22" t="str">
        <f aca="false">IF(OR(J165="",N(Z165)=0),"",ABS(J165-H165)/ABS(H165-I165))</f>
        <v/>
      </c>
      <c r="AB165" s="23" t="str">
        <f aca="false">IF(U165&lt;&gt;"Closed","",(N(L165)*N(M165)+N(N165)*N(O165)+Y165*Q165)/G165)</f>
        <v/>
      </c>
      <c r="AC165" s="24" t="str">
        <f aca="false">IF(U165&lt;&gt;"Closed","",IF($B165="Short",-1,1)*((N(M165)-H165)*N(L165)+(N(O165)-H165)*N(N165)+(Q165-H165)*Y165)-N(R165))</f>
        <v/>
      </c>
      <c r="AD165" s="25" t="str">
        <f aca="false">IF(OR(AC165="",N(Z165)=0),"",AC165/Z165)</f>
        <v/>
      </c>
      <c r="AE165" s="25" t="str">
        <f aca="false">IF(OR(S165="",N(Z165)=0),"",IF($B165="Short",-1,1)*(S165-H165)*G165/Z165)</f>
        <v/>
      </c>
      <c r="AF165" s="25" t="str">
        <f aca="false">IF(OR(T165="",N(Z165)=0),"",IF($B165="Short",-1,1)*(T165-H165)*G165/Z165)</f>
        <v/>
      </c>
      <c r="AG165" s="21" t="str">
        <f aca="false">IF(U165&lt;&gt;"Open","",Y165*MAX(0,IF($B165="Short",-1,1)*(H165-IF(K165="",I165,K165))))</f>
        <v/>
      </c>
      <c r="AH165" s="26" t="str">
        <f aca="false">IF(U165&lt;&gt;"Closed","",DATE(YEAR(P165),MONTH(P165),1))</f>
        <v/>
      </c>
      <c r="AI165" s="19" t="str">
        <f aca="false">IF(U165&lt;&gt;"Closed","",COUNTIFS($U$7:$U$506,"Closed",$P$7:$P$506,"&lt;"&amp;P165)+COUNTIFS($U$7:U165,"Closed",$P$7:P165,P165))</f>
        <v/>
      </c>
    </row>
    <row r="166" customFormat="false" ht="15" hidden="false" customHeight="false" outlineLevel="0" collapsed="false">
      <c r="A166" s="13"/>
      <c r="B166" s="48"/>
      <c r="C166" s="48"/>
      <c r="D166" s="48"/>
      <c r="E166" s="15"/>
      <c r="F166" s="15"/>
      <c r="G166" s="16"/>
      <c r="H166" s="17"/>
      <c r="I166" s="17"/>
      <c r="J166" s="17"/>
      <c r="K166" s="17"/>
      <c r="L166" s="16"/>
      <c r="M166" s="17"/>
      <c r="N166" s="16"/>
      <c r="O166" s="17"/>
      <c r="P166" s="15"/>
      <c r="Q166" s="17"/>
      <c r="R166" s="17"/>
      <c r="S166" s="17"/>
      <c r="T166" s="17"/>
      <c r="U166" s="18" t="str">
        <f aca="false">IF(A166="","",IF(N(G166)-N(L166)-N(N166)&lt;0,"Check shares",IF(AND(P166&lt;&gt;"",Q166&lt;&gt;""),"Closed","Open")))</f>
        <v/>
      </c>
      <c r="V166" s="19" t="str">
        <f aca="false">IF(OR(F166="",P166=""),"",NETWORKDAYS(F166,P166,Lists!$F$5:$F$40)-1)</f>
        <v/>
      </c>
      <c r="W166" s="18" t="str">
        <f aca="false">IF(V166="","",IF(V166=0,"Same day","Overnight"))</f>
        <v/>
      </c>
      <c r="X166" s="18" t="str">
        <f aca="false">IF(OR(E166="",F166=""),"",IF(AND(E166&gt;=F166,OR(P166="",E166&lt;=P166)),"Yes","No"))</f>
        <v/>
      </c>
      <c r="Y166" s="20" t="str">
        <f aca="false">IF(A166="","",N(G166)-N(L166)-N(N166))</f>
        <v/>
      </c>
      <c r="Z166" s="21" t="str">
        <f aca="false">IF(OR(G166="",H166="",I166=""),"",ABS(H166-I166)*G166)</f>
        <v/>
      </c>
      <c r="AA166" s="22" t="str">
        <f aca="false">IF(OR(J166="",N(Z166)=0),"",ABS(J166-H166)/ABS(H166-I166))</f>
        <v/>
      </c>
      <c r="AB166" s="23" t="str">
        <f aca="false">IF(U166&lt;&gt;"Closed","",(N(L166)*N(M166)+N(N166)*N(O166)+Y166*Q166)/G166)</f>
        <v/>
      </c>
      <c r="AC166" s="24" t="str">
        <f aca="false">IF(U166&lt;&gt;"Closed","",IF($B166="Short",-1,1)*((N(M166)-H166)*N(L166)+(N(O166)-H166)*N(N166)+(Q166-H166)*Y166)-N(R166))</f>
        <v/>
      </c>
      <c r="AD166" s="25" t="str">
        <f aca="false">IF(OR(AC166="",N(Z166)=0),"",AC166/Z166)</f>
        <v/>
      </c>
      <c r="AE166" s="25" t="str">
        <f aca="false">IF(OR(S166="",N(Z166)=0),"",IF($B166="Short",-1,1)*(S166-H166)*G166/Z166)</f>
        <v/>
      </c>
      <c r="AF166" s="25" t="str">
        <f aca="false">IF(OR(T166="",N(Z166)=0),"",IF($B166="Short",-1,1)*(T166-H166)*G166/Z166)</f>
        <v/>
      </c>
      <c r="AG166" s="21" t="str">
        <f aca="false">IF(U166&lt;&gt;"Open","",Y166*MAX(0,IF($B166="Short",-1,1)*(H166-IF(K166="",I166,K166))))</f>
        <v/>
      </c>
      <c r="AH166" s="26" t="str">
        <f aca="false">IF(U166&lt;&gt;"Closed","",DATE(YEAR(P166),MONTH(P166),1))</f>
        <v/>
      </c>
      <c r="AI166" s="19" t="str">
        <f aca="false">IF(U166&lt;&gt;"Closed","",COUNTIFS($U$7:$U$506,"Closed",$P$7:$P$506,"&lt;"&amp;P166)+COUNTIFS($U$7:U166,"Closed",$P$7:P166,P166))</f>
        <v/>
      </c>
    </row>
    <row r="167" customFormat="false" ht="15" hidden="false" customHeight="false" outlineLevel="0" collapsed="false">
      <c r="A167" s="13"/>
      <c r="B167" s="48"/>
      <c r="C167" s="48"/>
      <c r="D167" s="48"/>
      <c r="E167" s="15"/>
      <c r="F167" s="15"/>
      <c r="G167" s="16"/>
      <c r="H167" s="17"/>
      <c r="I167" s="17"/>
      <c r="J167" s="17"/>
      <c r="K167" s="17"/>
      <c r="L167" s="16"/>
      <c r="M167" s="17"/>
      <c r="N167" s="16"/>
      <c r="O167" s="17"/>
      <c r="P167" s="15"/>
      <c r="Q167" s="17"/>
      <c r="R167" s="17"/>
      <c r="S167" s="17"/>
      <c r="T167" s="17"/>
      <c r="U167" s="18" t="str">
        <f aca="false">IF(A167="","",IF(N(G167)-N(L167)-N(N167)&lt;0,"Check shares",IF(AND(P167&lt;&gt;"",Q167&lt;&gt;""),"Closed","Open")))</f>
        <v/>
      </c>
      <c r="V167" s="19" t="str">
        <f aca="false">IF(OR(F167="",P167=""),"",NETWORKDAYS(F167,P167,Lists!$F$5:$F$40)-1)</f>
        <v/>
      </c>
      <c r="W167" s="18" t="str">
        <f aca="false">IF(V167="","",IF(V167=0,"Same day","Overnight"))</f>
        <v/>
      </c>
      <c r="X167" s="18" t="str">
        <f aca="false">IF(OR(E167="",F167=""),"",IF(AND(E167&gt;=F167,OR(P167="",E167&lt;=P167)),"Yes","No"))</f>
        <v/>
      </c>
      <c r="Y167" s="20" t="str">
        <f aca="false">IF(A167="","",N(G167)-N(L167)-N(N167))</f>
        <v/>
      </c>
      <c r="Z167" s="21" t="str">
        <f aca="false">IF(OR(G167="",H167="",I167=""),"",ABS(H167-I167)*G167)</f>
        <v/>
      </c>
      <c r="AA167" s="22" t="str">
        <f aca="false">IF(OR(J167="",N(Z167)=0),"",ABS(J167-H167)/ABS(H167-I167))</f>
        <v/>
      </c>
      <c r="AB167" s="23" t="str">
        <f aca="false">IF(U167&lt;&gt;"Closed","",(N(L167)*N(M167)+N(N167)*N(O167)+Y167*Q167)/G167)</f>
        <v/>
      </c>
      <c r="AC167" s="24" t="str">
        <f aca="false">IF(U167&lt;&gt;"Closed","",IF($B167="Short",-1,1)*((N(M167)-H167)*N(L167)+(N(O167)-H167)*N(N167)+(Q167-H167)*Y167)-N(R167))</f>
        <v/>
      </c>
      <c r="AD167" s="25" t="str">
        <f aca="false">IF(OR(AC167="",N(Z167)=0),"",AC167/Z167)</f>
        <v/>
      </c>
      <c r="AE167" s="25" t="str">
        <f aca="false">IF(OR(S167="",N(Z167)=0),"",IF($B167="Short",-1,1)*(S167-H167)*G167/Z167)</f>
        <v/>
      </c>
      <c r="AF167" s="25" t="str">
        <f aca="false">IF(OR(T167="",N(Z167)=0),"",IF($B167="Short",-1,1)*(T167-H167)*G167/Z167)</f>
        <v/>
      </c>
      <c r="AG167" s="21" t="str">
        <f aca="false">IF(U167&lt;&gt;"Open","",Y167*MAX(0,IF($B167="Short",-1,1)*(H167-IF(K167="",I167,K167))))</f>
        <v/>
      </c>
      <c r="AH167" s="26" t="str">
        <f aca="false">IF(U167&lt;&gt;"Closed","",DATE(YEAR(P167),MONTH(P167),1))</f>
        <v/>
      </c>
      <c r="AI167" s="19" t="str">
        <f aca="false">IF(U167&lt;&gt;"Closed","",COUNTIFS($U$7:$U$506,"Closed",$P$7:$P$506,"&lt;"&amp;P167)+COUNTIFS($U$7:U167,"Closed",$P$7:P167,P167))</f>
        <v/>
      </c>
    </row>
    <row r="168" customFormat="false" ht="15" hidden="false" customHeight="false" outlineLevel="0" collapsed="false">
      <c r="A168" s="13"/>
      <c r="B168" s="48"/>
      <c r="C168" s="48"/>
      <c r="D168" s="48"/>
      <c r="E168" s="15"/>
      <c r="F168" s="15"/>
      <c r="G168" s="16"/>
      <c r="H168" s="17"/>
      <c r="I168" s="17"/>
      <c r="J168" s="17"/>
      <c r="K168" s="17"/>
      <c r="L168" s="16"/>
      <c r="M168" s="17"/>
      <c r="N168" s="16"/>
      <c r="O168" s="17"/>
      <c r="P168" s="15"/>
      <c r="Q168" s="17"/>
      <c r="R168" s="17"/>
      <c r="S168" s="17"/>
      <c r="T168" s="17"/>
      <c r="U168" s="18" t="str">
        <f aca="false">IF(A168="","",IF(N(G168)-N(L168)-N(N168)&lt;0,"Check shares",IF(AND(P168&lt;&gt;"",Q168&lt;&gt;""),"Closed","Open")))</f>
        <v/>
      </c>
      <c r="V168" s="19" t="str">
        <f aca="false">IF(OR(F168="",P168=""),"",NETWORKDAYS(F168,P168,Lists!$F$5:$F$40)-1)</f>
        <v/>
      </c>
      <c r="W168" s="18" t="str">
        <f aca="false">IF(V168="","",IF(V168=0,"Same day","Overnight"))</f>
        <v/>
      </c>
      <c r="X168" s="18" t="str">
        <f aca="false">IF(OR(E168="",F168=""),"",IF(AND(E168&gt;=F168,OR(P168="",E168&lt;=P168)),"Yes","No"))</f>
        <v/>
      </c>
      <c r="Y168" s="20" t="str">
        <f aca="false">IF(A168="","",N(G168)-N(L168)-N(N168))</f>
        <v/>
      </c>
      <c r="Z168" s="21" t="str">
        <f aca="false">IF(OR(G168="",H168="",I168=""),"",ABS(H168-I168)*G168)</f>
        <v/>
      </c>
      <c r="AA168" s="22" t="str">
        <f aca="false">IF(OR(J168="",N(Z168)=0),"",ABS(J168-H168)/ABS(H168-I168))</f>
        <v/>
      </c>
      <c r="AB168" s="23" t="str">
        <f aca="false">IF(U168&lt;&gt;"Closed","",(N(L168)*N(M168)+N(N168)*N(O168)+Y168*Q168)/G168)</f>
        <v/>
      </c>
      <c r="AC168" s="24" t="str">
        <f aca="false">IF(U168&lt;&gt;"Closed","",IF($B168="Short",-1,1)*((N(M168)-H168)*N(L168)+(N(O168)-H168)*N(N168)+(Q168-H168)*Y168)-N(R168))</f>
        <v/>
      </c>
      <c r="AD168" s="25" t="str">
        <f aca="false">IF(OR(AC168="",N(Z168)=0),"",AC168/Z168)</f>
        <v/>
      </c>
      <c r="AE168" s="25" t="str">
        <f aca="false">IF(OR(S168="",N(Z168)=0),"",IF($B168="Short",-1,1)*(S168-H168)*G168/Z168)</f>
        <v/>
      </c>
      <c r="AF168" s="25" t="str">
        <f aca="false">IF(OR(T168="",N(Z168)=0),"",IF($B168="Short",-1,1)*(T168-H168)*G168/Z168)</f>
        <v/>
      </c>
      <c r="AG168" s="21" t="str">
        <f aca="false">IF(U168&lt;&gt;"Open","",Y168*MAX(0,IF($B168="Short",-1,1)*(H168-IF(K168="",I168,K168))))</f>
        <v/>
      </c>
      <c r="AH168" s="26" t="str">
        <f aca="false">IF(U168&lt;&gt;"Closed","",DATE(YEAR(P168),MONTH(P168),1))</f>
        <v/>
      </c>
      <c r="AI168" s="19" t="str">
        <f aca="false">IF(U168&lt;&gt;"Closed","",COUNTIFS($U$7:$U$506,"Closed",$P$7:$P$506,"&lt;"&amp;P168)+COUNTIFS($U$7:U168,"Closed",$P$7:P168,P168))</f>
        <v/>
      </c>
    </row>
    <row r="169" customFormat="false" ht="15" hidden="false" customHeight="false" outlineLevel="0" collapsed="false">
      <c r="A169" s="13"/>
      <c r="B169" s="48"/>
      <c r="C169" s="48"/>
      <c r="D169" s="48"/>
      <c r="E169" s="15"/>
      <c r="F169" s="15"/>
      <c r="G169" s="16"/>
      <c r="H169" s="17"/>
      <c r="I169" s="17"/>
      <c r="J169" s="17"/>
      <c r="K169" s="17"/>
      <c r="L169" s="16"/>
      <c r="M169" s="17"/>
      <c r="N169" s="16"/>
      <c r="O169" s="17"/>
      <c r="P169" s="15"/>
      <c r="Q169" s="17"/>
      <c r="R169" s="17"/>
      <c r="S169" s="17"/>
      <c r="T169" s="17"/>
      <c r="U169" s="18" t="str">
        <f aca="false">IF(A169="","",IF(N(G169)-N(L169)-N(N169)&lt;0,"Check shares",IF(AND(P169&lt;&gt;"",Q169&lt;&gt;""),"Closed","Open")))</f>
        <v/>
      </c>
      <c r="V169" s="19" t="str">
        <f aca="false">IF(OR(F169="",P169=""),"",NETWORKDAYS(F169,P169,Lists!$F$5:$F$40)-1)</f>
        <v/>
      </c>
      <c r="W169" s="18" t="str">
        <f aca="false">IF(V169="","",IF(V169=0,"Same day","Overnight"))</f>
        <v/>
      </c>
      <c r="X169" s="18" t="str">
        <f aca="false">IF(OR(E169="",F169=""),"",IF(AND(E169&gt;=F169,OR(P169="",E169&lt;=P169)),"Yes","No"))</f>
        <v/>
      </c>
      <c r="Y169" s="20" t="str">
        <f aca="false">IF(A169="","",N(G169)-N(L169)-N(N169))</f>
        <v/>
      </c>
      <c r="Z169" s="21" t="str">
        <f aca="false">IF(OR(G169="",H169="",I169=""),"",ABS(H169-I169)*G169)</f>
        <v/>
      </c>
      <c r="AA169" s="22" t="str">
        <f aca="false">IF(OR(J169="",N(Z169)=0),"",ABS(J169-H169)/ABS(H169-I169))</f>
        <v/>
      </c>
      <c r="AB169" s="23" t="str">
        <f aca="false">IF(U169&lt;&gt;"Closed","",(N(L169)*N(M169)+N(N169)*N(O169)+Y169*Q169)/G169)</f>
        <v/>
      </c>
      <c r="AC169" s="24" t="str">
        <f aca="false">IF(U169&lt;&gt;"Closed","",IF($B169="Short",-1,1)*((N(M169)-H169)*N(L169)+(N(O169)-H169)*N(N169)+(Q169-H169)*Y169)-N(R169))</f>
        <v/>
      </c>
      <c r="AD169" s="25" t="str">
        <f aca="false">IF(OR(AC169="",N(Z169)=0),"",AC169/Z169)</f>
        <v/>
      </c>
      <c r="AE169" s="25" t="str">
        <f aca="false">IF(OR(S169="",N(Z169)=0),"",IF($B169="Short",-1,1)*(S169-H169)*G169/Z169)</f>
        <v/>
      </c>
      <c r="AF169" s="25" t="str">
        <f aca="false">IF(OR(T169="",N(Z169)=0),"",IF($B169="Short",-1,1)*(T169-H169)*G169/Z169)</f>
        <v/>
      </c>
      <c r="AG169" s="21" t="str">
        <f aca="false">IF(U169&lt;&gt;"Open","",Y169*MAX(0,IF($B169="Short",-1,1)*(H169-IF(K169="",I169,K169))))</f>
        <v/>
      </c>
      <c r="AH169" s="26" t="str">
        <f aca="false">IF(U169&lt;&gt;"Closed","",DATE(YEAR(P169),MONTH(P169),1))</f>
        <v/>
      </c>
      <c r="AI169" s="19" t="str">
        <f aca="false">IF(U169&lt;&gt;"Closed","",COUNTIFS($U$7:$U$506,"Closed",$P$7:$P$506,"&lt;"&amp;P169)+COUNTIFS($U$7:U169,"Closed",$P$7:P169,P169))</f>
        <v/>
      </c>
    </row>
    <row r="170" customFormat="false" ht="15" hidden="false" customHeight="false" outlineLevel="0" collapsed="false">
      <c r="A170" s="13"/>
      <c r="B170" s="48"/>
      <c r="C170" s="48"/>
      <c r="D170" s="48"/>
      <c r="E170" s="15"/>
      <c r="F170" s="15"/>
      <c r="G170" s="16"/>
      <c r="H170" s="17"/>
      <c r="I170" s="17"/>
      <c r="J170" s="17"/>
      <c r="K170" s="17"/>
      <c r="L170" s="16"/>
      <c r="M170" s="17"/>
      <c r="N170" s="16"/>
      <c r="O170" s="17"/>
      <c r="P170" s="15"/>
      <c r="Q170" s="17"/>
      <c r="R170" s="17"/>
      <c r="S170" s="17"/>
      <c r="T170" s="17"/>
      <c r="U170" s="18" t="str">
        <f aca="false">IF(A170="","",IF(N(G170)-N(L170)-N(N170)&lt;0,"Check shares",IF(AND(P170&lt;&gt;"",Q170&lt;&gt;""),"Closed","Open")))</f>
        <v/>
      </c>
      <c r="V170" s="19" t="str">
        <f aca="false">IF(OR(F170="",P170=""),"",NETWORKDAYS(F170,P170,Lists!$F$5:$F$40)-1)</f>
        <v/>
      </c>
      <c r="W170" s="18" t="str">
        <f aca="false">IF(V170="","",IF(V170=0,"Same day","Overnight"))</f>
        <v/>
      </c>
      <c r="X170" s="18" t="str">
        <f aca="false">IF(OR(E170="",F170=""),"",IF(AND(E170&gt;=F170,OR(P170="",E170&lt;=P170)),"Yes","No"))</f>
        <v/>
      </c>
      <c r="Y170" s="20" t="str">
        <f aca="false">IF(A170="","",N(G170)-N(L170)-N(N170))</f>
        <v/>
      </c>
      <c r="Z170" s="21" t="str">
        <f aca="false">IF(OR(G170="",H170="",I170=""),"",ABS(H170-I170)*G170)</f>
        <v/>
      </c>
      <c r="AA170" s="22" t="str">
        <f aca="false">IF(OR(J170="",N(Z170)=0),"",ABS(J170-H170)/ABS(H170-I170))</f>
        <v/>
      </c>
      <c r="AB170" s="23" t="str">
        <f aca="false">IF(U170&lt;&gt;"Closed","",(N(L170)*N(M170)+N(N170)*N(O170)+Y170*Q170)/G170)</f>
        <v/>
      </c>
      <c r="AC170" s="24" t="str">
        <f aca="false">IF(U170&lt;&gt;"Closed","",IF($B170="Short",-1,1)*((N(M170)-H170)*N(L170)+(N(O170)-H170)*N(N170)+(Q170-H170)*Y170)-N(R170))</f>
        <v/>
      </c>
      <c r="AD170" s="25" t="str">
        <f aca="false">IF(OR(AC170="",N(Z170)=0),"",AC170/Z170)</f>
        <v/>
      </c>
      <c r="AE170" s="25" t="str">
        <f aca="false">IF(OR(S170="",N(Z170)=0),"",IF($B170="Short",-1,1)*(S170-H170)*G170/Z170)</f>
        <v/>
      </c>
      <c r="AF170" s="25" t="str">
        <f aca="false">IF(OR(T170="",N(Z170)=0),"",IF($B170="Short",-1,1)*(T170-H170)*G170/Z170)</f>
        <v/>
      </c>
      <c r="AG170" s="21" t="str">
        <f aca="false">IF(U170&lt;&gt;"Open","",Y170*MAX(0,IF($B170="Short",-1,1)*(H170-IF(K170="",I170,K170))))</f>
        <v/>
      </c>
      <c r="AH170" s="26" t="str">
        <f aca="false">IF(U170&lt;&gt;"Closed","",DATE(YEAR(P170),MONTH(P170),1))</f>
        <v/>
      </c>
      <c r="AI170" s="19" t="str">
        <f aca="false">IF(U170&lt;&gt;"Closed","",COUNTIFS($U$7:$U$506,"Closed",$P$7:$P$506,"&lt;"&amp;P170)+COUNTIFS($U$7:U170,"Closed",$P$7:P170,P170))</f>
        <v/>
      </c>
    </row>
    <row r="171" customFormat="false" ht="15" hidden="false" customHeight="false" outlineLevel="0" collapsed="false">
      <c r="A171" s="13"/>
      <c r="B171" s="48"/>
      <c r="C171" s="48"/>
      <c r="D171" s="48"/>
      <c r="E171" s="15"/>
      <c r="F171" s="15"/>
      <c r="G171" s="16"/>
      <c r="H171" s="17"/>
      <c r="I171" s="17"/>
      <c r="J171" s="17"/>
      <c r="K171" s="17"/>
      <c r="L171" s="16"/>
      <c r="M171" s="17"/>
      <c r="N171" s="16"/>
      <c r="O171" s="17"/>
      <c r="P171" s="15"/>
      <c r="Q171" s="17"/>
      <c r="R171" s="17"/>
      <c r="S171" s="17"/>
      <c r="T171" s="17"/>
      <c r="U171" s="18" t="str">
        <f aca="false">IF(A171="","",IF(N(G171)-N(L171)-N(N171)&lt;0,"Check shares",IF(AND(P171&lt;&gt;"",Q171&lt;&gt;""),"Closed","Open")))</f>
        <v/>
      </c>
      <c r="V171" s="19" t="str">
        <f aca="false">IF(OR(F171="",P171=""),"",NETWORKDAYS(F171,P171,Lists!$F$5:$F$40)-1)</f>
        <v/>
      </c>
      <c r="W171" s="18" t="str">
        <f aca="false">IF(V171="","",IF(V171=0,"Same day","Overnight"))</f>
        <v/>
      </c>
      <c r="X171" s="18" t="str">
        <f aca="false">IF(OR(E171="",F171=""),"",IF(AND(E171&gt;=F171,OR(P171="",E171&lt;=P171)),"Yes","No"))</f>
        <v/>
      </c>
      <c r="Y171" s="20" t="str">
        <f aca="false">IF(A171="","",N(G171)-N(L171)-N(N171))</f>
        <v/>
      </c>
      <c r="Z171" s="21" t="str">
        <f aca="false">IF(OR(G171="",H171="",I171=""),"",ABS(H171-I171)*G171)</f>
        <v/>
      </c>
      <c r="AA171" s="22" t="str">
        <f aca="false">IF(OR(J171="",N(Z171)=0),"",ABS(J171-H171)/ABS(H171-I171))</f>
        <v/>
      </c>
      <c r="AB171" s="23" t="str">
        <f aca="false">IF(U171&lt;&gt;"Closed","",(N(L171)*N(M171)+N(N171)*N(O171)+Y171*Q171)/G171)</f>
        <v/>
      </c>
      <c r="AC171" s="24" t="str">
        <f aca="false">IF(U171&lt;&gt;"Closed","",IF($B171="Short",-1,1)*((N(M171)-H171)*N(L171)+(N(O171)-H171)*N(N171)+(Q171-H171)*Y171)-N(R171))</f>
        <v/>
      </c>
      <c r="AD171" s="25" t="str">
        <f aca="false">IF(OR(AC171="",N(Z171)=0),"",AC171/Z171)</f>
        <v/>
      </c>
      <c r="AE171" s="25" t="str">
        <f aca="false">IF(OR(S171="",N(Z171)=0),"",IF($B171="Short",-1,1)*(S171-H171)*G171/Z171)</f>
        <v/>
      </c>
      <c r="AF171" s="25" t="str">
        <f aca="false">IF(OR(T171="",N(Z171)=0),"",IF($B171="Short",-1,1)*(T171-H171)*G171/Z171)</f>
        <v/>
      </c>
      <c r="AG171" s="21" t="str">
        <f aca="false">IF(U171&lt;&gt;"Open","",Y171*MAX(0,IF($B171="Short",-1,1)*(H171-IF(K171="",I171,K171))))</f>
        <v/>
      </c>
      <c r="AH171" s="26" t="str">
        <f aca="false">IF(U171&lt;&gt;"Closed","",DATE(YEAR(P171),MONTH(P171),1))</f>
        <v/>
      </c>
      <c r="AI171" s="19" t="str">
        <f aca="false">IF(U171&lt;&gt;"Closed","",COUNTIFS($U$7:$U$506,"Closed",$P$7:$P$506,"&lt;"&amp;P171)+COUNTIFS($U$7:U171,"Closed",$P$7:P171,P171))</f>
        <v/>
      </c>
    </row>
    <row r="172" customFormat="false" ht="15" hidden="false" customHeight="false" outlineLevel="0" collapsed="false">
      <c r="A172" s="13"/>
      <c r="B172" s="48"/>
      <c r="C172" s="48"/>
      <c r="D172" s="48"/>
      <c r="E172" s="15"/>
      <c r="F172" s="15"/>
      <c r="G172" s="16"/>
      <c r="H172" s="17"/>
      <c r="I172" s="17"/>
      <c r="J172" s="17"/>
      <c r="K172" s="17"/>
      <c r="L172" s="16"/>
      <c r="M172" s="17"/>
      <c r="N172" s="16"/>
      <c r="O172" s="17"/>
      <c r="P172" s="15"/>
      <c r="Q172" s="17"/>
      <c r="R172" s="17"/>
      <c r="S172" s="17"/>
      <c r="T172" s="17"/>
      <c r="U172" s="18" t="str">
        <f aca="false">IF(A172="","",IF(N(G172)-N(L172)-N(N172)&lt;0,"Check shares",IF(AND(P172&lt;&gt;"",Q172&lt;&gt;""),"Closed","Open")))</f>
        <v/>
      </c>
      <c r="V172" s="19" t="str">
        <f aca="false">IF(OR(F172="",P172=""),"",NETWORKDAYS(F172,P172,Lists!$F$5:$F$40)-1)</f>
        <v/>
      </c>
      <c r="W172" s="18" t="str">
        <f aca="false">IF(V172="","",IF(V172=0,"Same day","Overnight"))</f>
        <v/>
      </c>
      <c r="X172" s="18" t="str">
        <f aca="false">IF(OR(E172="",F172=""),"",IF(AND(E172&gt;=F172,OR(P172="",E172&lt;=P172)),"Yes","No"))</f>
        <v/>
      </c>
      <c r="Y172" s="20" t="str">
        <f aca="false">IF(A172="","",N(G172)-N(L172)-N(N172))</f>
        <v/>
      </c>
      <c r="Z172" s="21" t="str">
        <f aca="false">IF(OR(G172="",H172="",I172=""),"",ABS(H172-I172)*G172)</f>
        <v/>
      </c>
      <c r="AA172" s="22" t="str">
        <f aca="false">IF(OR(J172="",N(Z172)=0),"",ABS(J172-H172)/ABS(H172-I172))</f>
        <v/>
      </c>
      <c r="AB172" s="23" t="str">
        <f aca="false">IF(U172&lt;&gt;"Closed","",(N(L172)*N(M172)+N(N172)*N(O172)+Y172*Q172)/G172)</f>
        <v/>
      </c>
      <c r="AC172" s="24" t="str">
        <f aca="false">IF(U172&lt;&gt;"Closed","",IF($B172="Short",-1,1)*((N(M172)-H172)*N(L172)+(N(O172)-H172)*N(N172)+(Q172-H172)*Y172)-N(R172))</f>
        <v/>
      </c>
      <c r="AD172" s="25" t="str">
        <f aca="false">IF(OR(AC172="",N(Z172)=0),"",AC172/Z172)</f>
        <v/>
      </c>
      <c r="AE172" s="25" t="str">
        <f aca="false">IF(OR(S172="",N(Z172)=0),"",IF($B172="Short",-1,1)*(S172-H172)*G172/Z172)</f>
        <v/>
      </c>
      <c r="AF172" s="25" t="str">
        <f aca="false">IF(OR(T172="",N(Z172)=0),"",IF($B172="Short",-1,1)*(T172-H172)*G172/Z172)</f>
        <v/>
      </c>
      <c r="AG172" s="21" t="str">
        <f aca="false">IF(U172&lt;&gt;"Open","",Y172*MAX(0,IF($B172="Short",-1,1)*(H172-IF(K172="",I172,K172))))</f>
        <v/>
      </c>
      <c r="AH172" s="26" t="str">
        <f aca="false">IF(U172&lt;&gt;"Closed","",DATE(YEAR(P172),MONTH(P172),1))</f>
        <v/>
      </c>
      <c r="AI172" s="19" t="str">
        <f aca="false">IF(U172&lt;&gt;"Closed","",COUNTIFS($U$7:$U$506,"Closed",$P$7:$P$506,"&lt;"&amp;P172)+COUNTIFS($U$7:U172,"Closed",$P$7:P172,P172))</f>
        <v/>
      </c>
    </row>
    <row r="173" customFormat="false" ht="15" hidden="false" customHeight="false" outlineLevel="0" collapsed="false">
      <c r="A173" s="13"/>
      <c r="B173" s="48"/>
      <c r="C173" s="48"/>
      <c r="D173" s="48"/>
      <c r="E173" s="15"/>
      <c r="F173" s="15"/>
      <c r="G173" s="16"/>
      <c r="H173" s="17"/>
      <c r="I173" s="17"/>
      <c r="J173" s="17"/>
      <c r="K173" s="17"/>
      <c r="L173" s="16"/>
      <c r="M173" s="17"/>
      <c r="N173" s="16"/>
      <c r="O173" s="17"/>
      <c r="P173" s="15"/>
      <c r="Q173" s="17"/>
      <c r="R173" s="17"/>
      <c r="S173" s="17"/>
      <c r="T173" s="17"/>
      <c r="U173" s="18" t="str">
        <f aca="false">IF(A173="","",IF(N(G173)-N(L173)-N(N173)&lt;0,"Check shares",IF(AND(P173&lt;&gt;"",Q173&lt;&gt;""),"Closed","Open")))</f>
        <v/>
      </c>
      <c r="V173" s="19" t="str">
        <f aca="false">IF(OR(F173="",P173=""),"",NETWORKDAYS(F173,P173,Lists!$F$5:$F$40)-1)</f>
        <v/>
      </c>
      <c r="W173" s="18" t="str">
        <f aca="false">IF(V173="","",IF(V173=0,"Same day","Overnight"))</f>
        <v/>
      </c>
      <c r="X173" s="18" t="str">
        <f aca="false">IF(OR(E173="",F173=""),"",IF(AND(E173&gt;=F173,OR(P173="",E173&lt;=P173)),"Yes","No"))</f>
        <v/>
      </c>
      <c r="Y173" s="20" t="str">
        <f aca="false">IF(A173="","",N(G173)-N(L173)-N(N173))</f>
        <v/>
      </c>
      <c r="Z173" s="21" t="str">
        <f aca="false">IF(OR(G173="",H173="",I173=""),"",ABS(H173-I173)*G173)</f>
        <v/>
      </c>
      <c r="AA173" s="22" t="str">
        <f aca="false">IF(OR(J173="",N(Z173)=0),"",ABS(J173-H173)/ABS(H173-I173))</f>
        <v/>
      </c>
      <c r="AB173" s="23" t="str">
        <f aca="false">IF(U173&lt;&gt;"Closed","",(N(L173)*N(M173)+N(N173)*N(O173)+Y173*Q173)/G173)</f>
        <v/>
      </c>
      <c r="AC173" s="24" t="str">
        <f aca="false">IF(U173&lt;&gt;"Closed","",IF($B173="Short",-1,1)*((N(M173)-H173)*N(L173)+(N(O173)-H173)*N(N173)+(Q173-H173)*Y173)-N(R173))</f>
        <v/>
      </c>
      <c r="AD173" s="25" t="str">
        <f aca="false">IF(OR(AC173="",N(Z173)=0),"",AC173/Z173)</f>
        <v/>
      </c>
      <c r="AE173" s="25" t="str">
        <f aca="false">IF(OR(S173="",N(Z173)=0),"",IF($B173="Short",-1,1)*(S173-H173)*G173/Z173)</f>
        <v/>
      </c>
      <c r="AF173" s="25" t="str">
        <f aca="false">IF(OR(T173="",N(Z173)=0),"",IF($B173="Short",-1,1)*(T173-H173)*G173/Z173)</f>
        <v/>
      </c>
      <c r="AG173" s="21" t="str">
        <f aca="false">IF(U173&lt;&gt;"Open","",Y173*MAX(0,IF($B173="Short",-1,1)*(H173-IF(K173="",I173,K173))))</f>
        <v/>
      </c>
      <c r="AH173" s="26" t="str">
        <f aca="false">IF(U173&lt;&gt;"Closed","",DATE(YEAR(P173),MONTH(P173),1))</f>
        <v/>
      </c>
      <c r="AI173" s="19" t="str">
        <f aca="false">IF(U173&lt;&gt;"Closed","",COUNTIFS($U$7:$U$506,"Closed",$P$7:$P$506,"&lt;"&amp;P173)+COUNTIFS($U$7:U173,"Closed",$P$7:P173,P173))</f>
        <v/>
      </c>
    </row>
    <row r="174" customFormat="false" ht="15" hidden="false" customHeight="false" outlineLevel="0" collapsed="false">
      <c r="A174" s="13"/>
      <c r="B174" s="48"/>
      <c r="C174" s="48"/>
      <c r="D174" s="48"/>
      <c r="E174" s="15"/>
      <c r="F174" s="15"/>
      <c r="G174" s="16"/>
      <c r="H174" s="17"/>
      <c r="I174" s="17"/>
      <c r="J174" s="17"/>
      <c r="K174" s="17"/>
      <c r="L174" s="16"/>
      <c r="M174" s="17"/>
      <c r="N174" s="16"/>
      <c r="O174" s="17"/>
      <c r="P174" s="15"/>
      <c r="Q174" s="17"/>
      <c r="R174" s="17"/>
      <c r="S174" s="17"/>
      <c r="T174" s="17"/>
      <c r="U174" s="18" t="str">
        <f aca="false">IF(A174="","",IF(N(G174)-N(L174)-N(N174)&lt;0,"Check shares",IF(AND(P174&lt;&gt;"",Q174&lt;&gt;""),"Closed","Open")))</f>
        <v/>
      </c>
      <c r="V174" s="19" t="str">
        <f aca="false">IF(OR(F174="",P174=""),"",NETWORKDAYS(F174,P174,Lists!$F$5:$F$40)-1)</f>
        <v/>
      </c>
      <c r="W174" s="18" t="str">
        <f aca="false">IF(V174="","",IF(V174=0,"Same day","Overnight"))</f>
        <v/>
      </c>
      <c r="X174" s="18" t="str">
        <f aca="false">IF(OR(E174="",F174=""),"",IF(AND(E174&gt;=F174,OR(P174="",E174&lt;=P174)),"Yes","No"))</f>
        <v/>
      </c>
      <c r="Y174" s="20" t="str">
        <f aca="false">IF(A174="","",N(G174)-N(L174)-N(N174))</f>
        <v/>
      </c>
      <c r="Z174" s="21" t="str">
        <f aca="false">IF(OR(G174="",H174="",I174=""),"",ABS(H174-I174)*G174)</f>
        <v/>
      </c>
      <c r="AA174" s="22" t="str">
        <f aca="false">IF(OR(J174="",N(Z174)=0),"",ABS(J174-H174)/ABS(H174-I174))</f>
        <v/>
      </c>
      <c r="AB174" s="23" t="str">
        <f aca="false">IF(U174&lt;&gt;"Closed","",(N(L174)*N(M174)+N(N174)*N(O174)+Y174*Q174)/G174)</f>
        <v/>
      </c>
      <c r="AC174" s="24" t="str">
        <f aca="false">IF(U174&lt;&gt;"Closed","",IF($B174="Short",-1,1)*((N(M174)-H174)*N(L174)+(N(O174)-H174)*N(N174)+(Q174-H174)*Y174)-N(R174))</f>
        <v/>
      </c>
      <c r="AD174" s="25" t="str">
        <f aca="false">IF(OR(AC174="",N(Z174)=0),"",AC174/Z174)</f>
        <v/>
      </c>
      <c r="AE174" s="25" t="str">
        <f aca="false">IF(OR(S174="",N(Z174)=0),"",IF($B174="Short",-1,1)*(S174-H174)*G174/Z174)</f>
        <v/>
      </c>
      <c r="AF174" s="25" t="str">
        <f aca="false">IF(OR(T174="",N(Z174)=0),"",IF($B174="Short",-1,1)*(T174-H174)*G174/Z174)</f>
        <v/>
      </c>
      <c r="AG174" s="21" t="str">
        <f aca="false">IF(U174&lt;&gt;"Open","",Y174*MAX(0,IF($B174="Short",-1,1)*(H174-IF(K174="",I174,K174))))</f>
        <v/>
      </c>
      <c r="AH174" s="26" t="str">
        <f aca="false">IF(U174&lt;&gt;"Closed","",DATE(YEAR(P174),MONTH(P174),1))</f>
        <v/>
      </c>
      <c r="AI174" s="19" t="str">
        <f aca="false">IF(U174&lt;&gt;"Closed","",COUNTIFS($U$7:$U$506,"Closed",$P$7:$P$506,"&lt;"&amp;P174)+COUNTIFS($U$7:U174,"Closed",$P$7:P174,P174))</f>
        <v/>
      </c>
    </row>
    <row r="175" customFormat="false" ht="15" hidden="false" customHeight="false" outlineLevel="0" collapsed="false">
      <c r="A175" s="13"/>
      <c r="B175" s="48"/>
      <c r="C175" s="48"/>
      <c r="D175" s="48"/>
      <c r="E175" s="15"/>
      <c r="F175" s="15"/>
      <c r="G175" s="16"/>
      <c r="H175" s="17"/>
      <c r="I175" s="17"/>
      <c r="J175" s="17"/>
      <c r="K175" s="17"/>
      <c r="L175" s="16"/>
      <c r="M175" s="17"/>
      <c r="N175" s="16"/>
      <c r="O175" s="17"/>
      <c r="P175" s="15"/>
      <c r="Q175" s="17"/>
      <c r="R175" s="17"/>
      <c r="S175" s="17"/>
      <c r="T175" s="17"/>
      <c r="U175" s="18" t="str">
        <f aca="false">IF(A175="","",IF(N(G175)-N(L175)-N(N175)&lt;0,"Check shares",IF(AND(P175&lt;&gt;"",Q175&lt;&gt;""),"Closed","Open")))</f>
        <v/>
      </c>
      <c r="V175" s="19" t="str">
        <f aca="false">IF(OR(F175="",P175=""),"",NETWORKDAYS(F175,P175,Lists!$F$5:$F$40)-1)</f>
        <v/>
      </c>
      <c r="W175" s="18" t="str">
        <f aca="false">IF(V175="","",IF(V175=0,"Same day","Overnight"))</f>
        <v/>
      </c>
      <c r="X175" s="18" t="str">
        <f aca="false">IF(OR(E175="",F175=""),"",IF(AND(E175&gt;=F175,OR(P175="",E175&lt;=P175)),"Yes","No"))</f>
        <v/>
      </c>
      <c r="Y175" s="20" t="str">
        <f aca="false">IF(A175="","",N(G175)-N(L175)-N(N175))</f>
        <v/>
      </c>
      <c r="Z175" s="21" t="str">
        <f aca="false">IF(OR(G175="",H175="",I175=""),"",ABS(H175-I175)*G175)</f>
        <v/>
      </c>
      <c r="AA175" s="22" t="str">
        <f aca="false">IF(OR(J175="",N(Z175)=0),"",ABS(J175-H175)/ABS(H175-I175))</f>
        <v/>
      </c>
      <c r="AB175" s="23" t="str">
        <f aca="false">IF(U175&lt;&gt;"Closed","",(N(L175)*N(M175)+N(N175)*N(O175)+Y175*Q175)/G175)</f>
        <v/>
      </c>
      <c r="AC175" s="24" t="str">
        <f aca="false">IF(U175&lt;&gt;"Closed","",IF($B175="Short",-1,1)*((N(M175)-H175)*N(L175)+(N(O175)-H175)*N(N175)+(Q175-H175)*Y175)-N(R175))</f>
        <v/>
      </c>
      <c r="AD175" s="25" t="str">
        <f aca="false">IF(OR(AC175="",N(Z175)=0),"",AC175/Z175)</f>
        <v/>
      </c>
      <c r="AE175" s="25" t="str">
        <f aca="false">IF(OR(S175="",N(Z175)=0),"",IF($B175="Short",-1,1)*(S175-H175)*G175/Z175)</f>
        <v/>
      </c>
      <c r="AF175" s="25" t="str">
        <f aca="false">IF(OR(T175="",N(Z175)=0),"",IF($B175="Short",-1,1)*(T175-H175)*G175/Z175)</f>
        <v/>
      </c>
      <c r="AG175" s="21" t="str">
        <f aca="false">IF(U175&lt;&gt;"Open","",Y175*MAX(0,IF($B175="Short",-1,1)*(H175-IF(K175="",I175,K175))))</f>
        <v/>
      </c>
      <c r="AH175" s="26" t="str">
        <f aca="false">IF(U175&lt;&gt;"Closed","",DATE(YEAR(P175),MONTH(P175),1))</f>
        <v/>
      </c>
      <c r="AI175" s="19" t="str">
        <f aca="false">IF(U175&lt;&gt;"Closed","",COUNTIFS($U$7:$U$506,"Closed",$P$7:$P$506,"&lt;"&amp;P175)+COUNTIFS($U$7:U175,"Closed",$P$7:P175,P175))</f>
        <v/>
      </c>
    </row>
    <row r="176" customFormat="false" ht="15" hidden="false" customHeight="false" outlineLevel="0" collapsed="false">
      <c r="A176" s="13"/>
      <c r="B176" s="48"/>
      <c r="C176" s="48"/>
      <c r="D176" s="48"/>
      <c r="E176" s="15"/>
      <c r="F176" s="15"/>
      <c r="G176" s="16"/>
      <c r="H176" s="17"/>
      <c r="I176" s="17"/>
      <c r="J176" s="17"/>
      <c r="K176" s="17"/>
      <c r="L176" s="16"/>
      <c r="M176" s="17"/>
      <c r="N176" s="16"/>
      <c r="O176" s="17"/>
      <c r="P176" s="15"/>
      <c r="Q176" s="17"/>
      <c r="R176" s="17"/>
      <c r="S176" s="17"/>
      <c r="T176" s="17"/>
      <c r="U176" s="18" t="str">
        <f aca="false">IF(A176="","",IF(N(G176)-N(L176)-N(N176)&lt;0,"Check shares",IF(AND(P176&lt;&gt;"",Q176&lt;&gt;""),"Closed","Open")))</f>
        <v/>
      </c>
      <c r="V176" s="19" t="str">
        <f aca="false">IF(OR(F176="",P176=""),"",NETWORKDAYS(F176,P176,Lists!$F$5:$F$40)-1)</f>
        <v/>
      </c>
      <c r="W176" s="18" t="str">
        <f aca="false">IF(V176="","",IF(V176=0,"Same day","Overnight"))</f>
        <v/>
      </c>
      <c r="X176" s="18" t="str">
        <f aca="false">IF(OR(E176="",F176=""),"",IF(AND(E176&gt;=F176,OR(P176="",E176&lt;=P176)),"Yes","No"))</f>
        <v/>
      </c>
      <c r="Y176" s="20" t="str">
        <f aca="false">IF(A176="","",N(G176)-N(L176)-N(N176))</f>
        <v/>
      </c>
      <c r="Z176" s="21" t="str">
        <f aca="false">IF(OR(G176="",H176="",I176=""),"",ABS(H176-I176)*G176)</f>
        <v/>
      </c>
      <c r="AA176" s="22" t="str">
        <f aca="false">IF(OR(J176="",N(Z176)=0),"",ABS(J176-H176)/ABS(H176-I176))</f>
        <v/>
      </c>
      <c r="AB176" s="23" t="str">
        <f aca="false">IF(U176&lt;&gt;"Closed","",(N(L176)*N(M176)+N(N176)*N(O176)+Y176*Q176)/G176)</f>
        <v/>
      </c>
      <c r="AC176" s="24" t="str">
        <f aca="false">IF(U176&lt;&gt;"Closed","",IF($B176="Short",-1,1)*((N(M176)-H176)*N(L176)+(N(O176)-H176)*N(N176)+(Q176-H176)*Y176)-N(R176))</f>
        <v/>
      </c>
      <c r="AD176" s="25" t="str">
        <f aca="false">IF(OR(AC176="",N(Z176)=0),"",AC176/Z176)</f>
        <v/>
      </c>
      <c r="AE176" s="25" t="str">
        <f aca="false">IF(OR(S176="",N(Z176)=0),"",IF($B176="Short",-1,1)*(S176-H176)*G176/Z176)</f>
        <v/>
      </c>
      <c r="AF176" s="25" t="str">
        <f aca="false">IF(OR(T176="",N(Z176)=0),"",IF($B176="Short",-1,1)*(T176-H176)*G176/Z176)</f>
        <v/>
      </c>
      <c r="AG176" s="21" t="str">
        <f aca="false">IF(U176&lt;&gt;"Open","",Y176*MAX(0,IF($B176="Short",-1,1)*(H176-IF(K176="",I176,K176))))</f>
        <v/>
      </c>
      <c r="AH176" s="26" t="str">
        <f aca="false">IF(U176&lt;&gt;"Closed","",DATE(YEAR(P176),MONTH(P176),1))</f>
        <v/>
      </c>
      <c r="AI176" s="19" t="str">
        <f aca="false">IF(U176&lt;&gt;"Closed","",COUNTIFS($U$7:$U$506,"Closed",$P$7:$P$506,"&lt;"&amp;P176)+COUNTIFS($U$7:U176,"Closed",$P$7:P176,P176))</f>
        <v/>
      </c>
    </row>
    <row r="177" customFormat="false" ht="15" hidden="false" customHeight="false" outlineLevel="0" collapsed="false">
      <c r="A177" s="13"/>
      <c r="B177" s="48"/>
      <c r="C177" s="48"/>
      <c r="D177" s="48"/>
      <c r="E177" s="15"/>
      <c r="F177" s="15"/>
      <c r="G177" s="16"/>
      <c r="H177" s="17"/>
      <c r="I177" s="17"/>
      <c r="J177" s="17"/>
      <c r="K177" s="17"/>
      <c r="L177" s="16"/>
      <c r="M177" s="17"/>
      <c r="N177" s="16"/>
      <c r="O177" s="17"/>
      <c r="P177" s="15"/>
      <c r="Q177" s="17"/>
      <c r="R177" s="17"/>
      <c r="S177" s="17"/>
      <c r="T177" s="17"/>
      <c r="U177" s="18" t="str">
        <f aca="false">IF(A177="","",IF(N(G177)-N(L177)-N(N177)&lt;0,"Check shares",IF(AND(P177&lt;&gt;"",Q177&lt;&gt;""),"Closed","Open")))</f>
        <v/>
      </c>
      <c r="V177" s="19" t="str">
        <f aca="false">IF(OR(F177="",P177=""),"",NETWORKDAYS(F177,P177,Lists!$F$5:$F$40)-1)</f>
        <v/>
      </c>
      <c r="W177" s="18" t="str">
        <f aca="false">IF(V177="","",IF(V177=0,"Same day","Overnight"))</f>
        <v/>
      </c>
      <c r="X177" s="18" t="str">
        <f aca="false">IF(OR(E177="",F177=""),"",IF(AND(E177&gt;=F177,OR(P177="",E177&lt;=P177)),"Yes","No"))</f>
        <v/>
      </c>
      <c r="Y177" s="20" t="str">
        <f aca="false">IF(A177="","",N(G177)-N(L177)-N(N177))</f>
        <v/>
      </c>
      <c r="Z177" s="21" t="str">
        <f aca="false">IF(OR(G177="",H177="",I177=""),"",ABS(H177-I177)*G177)</f>
        <v/>
      </c>
      <c r="AA177" s="22" t="str">
        <f aca="false">IF(OR(J177="",N(Z177)=0),"",ABS(J177-H177)/ABS(H177-I177))</f>
        <v/>
      </c>
      <c r="AB177" s="23" t="str">
        <f aca="false">IF(U177&lt;&gt;"Closed","",(N(L177)*N(M177)+N(N177)*N(O177)+Y177*Q177)/G177)</f>
        <v/>
      </c>
      <c r="AC177" s="24" t="str">
        <f aca="false">IF(U177&lt;&gt;"Closed","",IF($B177="Short",-1,1)*((N(M177)-H177)*N(L177)+(N(O177)-H177)*N(N177)+(Q177-H177)*Y177)-N(R177))</f>
        <v/>
      </c>
      <c r="AD177" s="25" t="str">
        <f aca="false">IF(OR(AC177="",N(Z177)=0),"",AC177/Z177)</f>
        <v/>
      </c>
      <c r="AE177" s="25" t="str">
        <f aca="false">IF(OR(S177="",N(Z177)=0),"",IF($B177="Short",-1,1)*(S177-H177)*G177/Z177)</f>
        <v/>
      </c>
      <c r="AF177" s="25" t="str">
        <f aca="false">IF(OR(T177="",N(Z177)=0),"",IF($B177="Short",-1,1)*(T177-H177)*G177/Z177)</f>
        <v/>
      </c>
      <c r="AG177" s="21" t="str">
        <f aca="false">IF(U177&lt;&gt;"Open","",Y177*MAX(0,IF($B177="Short",-1,1)*(H177-IF(K177="",I177,K177))))</f>
        <v/>
      </c>
      <c r="AH177" s="26" t="str">
        <f aca="false">IF(U177&lt;&gt;"Closed","",DATE(YEAR(P177),MONTH(P177),1))</f>
        <v/>
      </c>
      <c r="AI177" s="19" t="str">
        <f aca="false">IF(U177&lt;&gt;"Closed","",COUNTIFS($U$7:$U$506,"Closed",$P$7:$P$506,"&lt;"&amp;P177)+COUNTIFS($U$7:U177,"Closed",$P$7:P177,P177))</f>
        <v/>
      </c>
    </row>
    <row r="178" customFormat="false" ht="15" hidden="false" customHeight="false" outlineLevel="0" collapsed="false">
      <c r="A178" s="13"/>
      <c r="B178" s="48"/>
      <c r="C178" s="48"/>
      <c r="D178" s="48"/>
      <c r="E178" s="15"/>
      <c r="F178" s="15"/>
      <c r="G178" s="16"/>
      <c r="H178" s="17"/>
      <c r="I178" s="17"/>
      <c r="J178" s="17"/>
      <c r="K178" s="17"/>
      <c r="L178" s="16"/>
      <c r="M178" s="17"/>
      <c r="N178" s="16"/>
      <c r="O178" s="17"/>
      <c r="P178" s="15"/>
      <c r="Q178" s="17"/>
      <c r="R178" s="17"/>
      <c r="S178" s="17"/>
      <c r="T178" s="17"/>
      <c r="U178" s="18" t="str">
        <f aca="false">IF(A178="","",IF(N(G178)-N(L178)-N(N178)&lt;0,"Check shares",IF(AND(P178&lt;&gt;"",Q178&lt;&gt;""),"Closed","Open")))</f>
        <v/>
      </c>
      <c r="V178" s="19" t="str">
        <f aca="false">IF(OR(F178="",P178=""),"",NETWORKDAYS(F178,P178,Lists!$F$5:$F$40)-1)</f>
        <v/>
      </c>
      <c r="W178" s="18" t="str">
        <f aca="false">IF(V178="","",IF(V178=0,"Same day","Overnight"))</f>
        <v/>
      </c>
      <c r="X178" s="18" t="str">
        <f aca="false">IF(OR(E178="",F178=""),"",IF(AND(E178&gt;=F178,OR(P178="",E178&lt;=P178)),"Yes","No"))</f>
        <v/>
      </c>
      <c r="Y178" s="20" t="str">
        <f aca="false">IF(A178="","",N(G178)-N(L178)-N(N178))</f>
        <v/>
      </c>
      <c r="Z178" s="21" t="str">
        <f aca="false">IF(OR(G178="",H178="",I178=""),"",ABS(H178-I178)*G178)</f>
        <v/>
      </c>
      <c r="AA178" s="22" t="str">
        <f aca="false">IF(OR(J178="",N(Z178)=0),"",ABS(J178-H178)/ABS(H178-I178))</f>
        <v/>
      </c>
      <c r="AB178" s="23" t="str">
        <f aca="false">IF(U178&lt;&gt;"Closed","",(N(L178)*N(M178)+N(N178)*N(O178)+Y178*Q178)/G178)</f>
        <v/>
      </c>
      <c r="AC178" s="24" t="str">
        <f aca="false">IF(U178&lt;&gt;"Closed","",IF($B178="Short",-1,1)*((N(M178)-H178)*N(L178)+(N(O178)-H178)*N(N178)+(Q178-H178)*Y178)-N(R178))</f>
        <v/>
      </c>
      <c r="AD178" s="25" t="str">
        <f aca="false">IF(OR(AC178="",N(Z178)=0),"",AC178/Z178)</f>
        <v/>
      </c>
      <c r="AE178" s="25" t="str">
        <f aca="false">IF(OR(S178="",N(Z178)=0),"",IF($B178="Short",-1,1)*(S178-H178)*G178/Z178)</f>
        <v/>
      </c>
      <c r="AF178" s="25" t="str">
        <f aca="false">IF(OR(T178="",N(Z178)=0),"",IF($B178="Short",-1,1)*(T178-H178)*G178/Z178)</f>
        <v/>
      </c>
      <c r="AG178" s="21" t="str">
        <f aca="false">IF(U178&lt;&gt;"Open","",Y178*MAX(0,IF($B178="Short",-1,1)*(H178-IF(K178="",I178,K178))))</f>
        <v/>
      </c>
      <c r="AH178" s="26" t="str">
        <f aca="false">IF(U178&lt;&gt;"Closed","",DATE(YEAR(P178),MONTH(P178),1))</f>
        <v/>
      </c>
      <c r="AI178" s="19" t="str">
        <f aca="false">IF(U178&lt;&gt;"Closed","",COUNTIFS($U$7:$U$506,"Closed",$P$7:$P$506,"&lt;"&amp;P178)+COUNTIFS($U$7:U178,"Closed",$P$7:P178,P178))</f>
        <v/>
      </c>
    </row>
    <row r="179" customFormat="false" ht="15" hidden="false" customHeight="false" outlineLevel="0" collapsed="false">
      <c r="A179" s="13"/>
      <c r="B179" s="48"/>
      <c r="C179" s="48"/>
      <c r="D179" s="48"/>
      <c r="E179" s="15"/>
      <c r="F179" s="15"/>
      <c r="G179" s="16"/>
      <c r="H179" s="17"/>
      <c r="I179" s="17"/>
      <c r="J179" s="17"/>
      <c r="K179" s="17"/>
      <c r="L179" s="16"/>
      <c r="M179" s="17"/>
      <c r="N179" s="16"/>
      <c r="O179" s="17"/>
      <c r="P179" s="15"/>
      <c r="Q179" s="17"/>
      <c r="R179" s="17"/>
      <c r="S179" s="17"/>
      <c r="T179" s="17"/>
      <c r="U179" s="18" t="str">
        <f aca="false">IF(A179="","",IF(N(G179)-N(L179)-N(N179)&lt;0,"Check shares",IF(AND(P179&lt;&gt;"",Q179&lt;&gt;""),"Closed","Open")))</f>
        <v/>
      </c>
      <c r="V179" s="19" t="str">
        <f aca="false">IF(OR(F179="",P179=""),"",NETWORKDAYS(F179,P179,Lists!$F$5:$F$40)-1)</f>
        <v/>
      </c>
      <c r="W179" s="18" t="str">
        <f aca="false">IF(V179="","",IF(V179=0,"Same day","Overnight"))</f>
        <v/>
      </c>
      <c r="X179" s="18" t="str">
        <f aca="false">IF(OR(E179="",F179=""),"",IF(AND(E179&gt;=F179,OR(P179="",E179&lt;=P179)),"Yes","No"))</f>
        <v/>
      </c>
      <c r="Y179" s="20" t="str">
        <f aca="false">IF(A179="","",N(G179)-N(L179)-N(N179))</f>
        <v/>
      </c>
      <c r="Z179" s="21" t="str">
        <f aca="false">IF(OR(G179="",H179="",I179=""),"",ABS(H179-I179)*G179)</f>
        <v/>
      </c>
      <c r="AA179" s="22" t="str">
        <f aca="false">IF(OR(J179="",N(Z179)=0),"",ABS(J179-H179)/ABS(H179-I179))</f>
        <v/>
      </c>
      <c r="AB179" s="23" t="str">
        <f aca="false">IF(U179&lt;&gt;"Closed","",(N(L179)*N(M179)+N(N179)*N(O179)+Y179*Q179)/G179)</f>
        <v/>
      </c>
      <c r="AC179" s="24" t="str">
        <f aca="false">IF(U179&lt;&gt;"Closed","",IF($B179="Short",-1,1)*((N(M179)-H179)*N(L179)+(N(O179)-H179)*N(N179)+(Q179-H179)*Y179)-N(R179))</f>
        <v/>
      </c>
      <c r="AD179" s="25" t="str">
        <f aca="false">IF(OR(AC179="",N(Z179)=0),"",AC179/Z179)</f>
        <v/>
      </c>
      <c r="AE179" s="25" t="str">
        <f aca="false">IF(OR(S179="",N(Z179)=0),"",IF($B179="Short",-1,1)*(S179-H179)*G179/Z179)</f>
        <v/>
      </c>
      <c r="AF179" s="25" t="str">
        <f aca="false">IF(OR(T179="",N(Z179)=0),"",IF($B179="Short",-1,1)*(T179-H179)*G179/Z179)</f>
        <v/>
      </c>
      <c r="AG179" s="21" t="str">
        <f aca="false">IF(U179&lt;&gt;"Open","",Y179*MAX(0,IF($B179="Short",-1,1)*(H179-IF(K179="",I179,K179))))</f>
        <v/>
      </c>
      <c r="AH179" s="26" t="str">
        <f aca="false">IF(U179&lt;&gt;"Closed","",DATE(YEAR(P179),MONTH(P179),1))</f>
        <v/>
      </c>
      <c r="AI179" s="19" t="str">
        <f aca="false">IF(U179&lt;&gt;"Closed","",COUNTIFS($U$7:$U$506,"Closed",$P$7:$P$506,"&lt;"&amp;P179)+COUNTIFS($U$7:U179,"Closed",$P$7:P179,P179))</f>
        <v/>
      </c>
    </row>
    <row r="180" customFormat="false" ht="15" hidden="false" customHeight="false" outlineLevel="0" collapsed="false">
      <c r="A180" s="13"/>
      <c r="B180" s="48"/>
      <c r="C180" s="48"/>
      <c r="D180" s="48"/>
      <c r="E180" s="15"/>
      <c r="F180" s="15"/>
      <c r="G180" s="16"/>
      <c r="H180" s="17"/>
      <c r="I180" s="17"/>
      <c r="J180" s="17"/>
      <c r="K180" s="17"/>
      <c r="L180" s="16"/>
      <c r="M180" s="17"/>
      <c r="N180" s="16"/>
      <c r="O180" s="17"/>
      <c r="P180" s="15"/>
      <c r="Q180" s="17"/>
      <c r="R180" s="17"/>
      <c r="S180" s="17"/>
      <c r="T180" s="17"/>
      <c r="U180" s="18" t="str">
        <f aca="false">IF(A180="","",IF(N(G180)-N(L180)-N(N180)&lt;0,"Check shares",IF(AND(P180&lt;&gt;"",Q180&lt;&gt;""),"Closed","Open")))</f>
        <v/>
      </c>
      <c r="V180" s="19" t="str">
        <f aca="false">IF(OR(F180="",P180=""),"",NETWORKDAYS(F180,P180,Lists!$F$5:$F$40)-1)</f>
        <v/>
      </c>
      <c r="W180" s="18" t="str">
        <f aca="false">IF(V180="","",IF(V180=0,"Same day","Overnight"))</f>
        <v/>
      </c>
      <c r="X180" s="18" t="str">
        <f aca="false">IF(OR(E180="",F180=""),"",IF(AND(E180&gt;=F180,OR(P180="",E180&lt;=P180)),"Yes","No"))</f>
        <v/>
      </c>
      <c r="Y180" s="20" t="str">
        <f aca="false">IF(A180="","",N(G180)-N(L180)-N(N180))</f>
        <v/>
      </c>
      <c r="Z180" s="21" t="str">
        <f aca="false">IF(OR(G180="",H180="",I180=""),"",ABS(H180-I180)*G180)</f>
        <v/>
      </c>
      <c r="AA180" s="22" t="str">
        <f aca="false">IF(OR(J180="",N(Z180)=0),"",ABS(J180-H180)/ABS(H180-I180))</f>
        <v/>
      </c>
      <c r="AB180" s="23" t="str">
        <f aca="false">IF(U180&lt;&gt;"Closed","",(N(L180)*N(M180)+N(N180)*N(O180)+Y180*Q180)/G180)</f>
        <v/>
      </c>
      <c r="AC180" s="24" t="str">
        <f aca="false">IF(U180&lt;&gt;"Closed","",IF($B180="Short",-1,1)*((N(M180)-H180)*N(L180)+(N(O180)-H180)*N(N180)+(Q180-H180)*Y180)-N(R180))</f>
        <v/>
      </c>
      <c r="AD180" s="25" t="str">
        <f aca="false">IF(OR(AC180="",N(Z180)=0),"",AC180/Z180)</f>
        <v/>
      </c>
      <c r="AE180" s="25" t="str">
        <f aca="false">IF(OR(S180="",N(Z180)=0),"",IF($B180="Short",-1,1)*(S180-H180)*G180/Z180)</f>
        <v/>
      </c>
      <c r="AF180" s="25" t="str">
        <f aca="false">IF(OR(T180="",N(Z180)=0),"",IF($B180="Short",-1,1)*(T180-H180)*G180/Z180)</f>
        <v/>
      </c>
      <c r="AG180" s="21" t="str">
        <f aca="false">IF(U180&lt;&gt;"Open","",Y180*MAX(0,IF($B180="Short",-1,1)*(H180-IF(K180="",I180,K180))))</f>
        <v/>
      </c>
      <c r="AH180" s="26" t="str">
        <f aca="false">IF(U180&lt;&gt;"Closed","",DATE(YEAR(P180),MONTH(P180),1))</f>
        <v/>
      </c>
      <c r="AI180" s="19" t="str">
        <f aca="false">IF(U180&lt;&gt;"Closed","",COUNTIFS($U$7:$U$506,"Closed",$P$7:$P$506,"&lt;"&amp;P180)+COUNTIFS($U$7:U180,"Closed",$P$7:P180,P180))</f>
        <v/>
      </c>
    </row>
    <row r="181" customFormat="false" ht="15" hidden="false" customHeight="false" outlineLevel="0" collapsed="false">
      <c r="A181" s="13"/>
      <c r="B181" s="48"/>
      <c r="C181" s="48"/>
      <c r="D181" s="48"/>
      <c r="E181" s="15"/>
      <c r="F181" s="15"/>
      <c r="G181" s="16"/>
      <c r="H181" s="17"/>
      <c r="I181" s="17"/>
      <c r="J181" s="17"/>
      <c r="K181" s="17"/>
      <c r="L181" s="16"/>
      <c r="M181" s="17"/>
      <c r="N181" s="16"/>
      <c r="O181" s="17"/>
      <c r="P181" s="15"/>
      <c r="Q181" s="17"/>
      <c r="R181" s="17"/>
      <c r="S181" s="17"/>
      <c r="T181" s="17"/>
      <c r="U181" s="18" t="str">
        <f aca="false">IF(A181="","",IF(N(G181)-N(L181)-N(N181)&lt;0,"Check shares",IF(AND(P181&lt;&gt;"",Q181&lt;&gt;""),"Closed","Open")))</f>
        <v/>
      </c>
      <c r="V181" s="19" t="str">
        <f aca="false">IF(OR(F181="",P181=""),"",NETWORKDAYS(F181,P181,Lists!$F$5:$F$40)-1)</f>
        <v/>
      </c>
      <c r="W181" s="18" t="str">
        <f aca="false">IF(V181="","",IF(V181=0,"Same day","Overnight"))</f>
        <v/>
      </c>
      <c r="X181" s="18" t="str">
        <f aca="false">IF(OR(E181="",F181=""),"",IF(AND(E181&gt;=F181,OR(P181="",E181&lt;=P181)),"Yes","No"))</f>
        <v/>
      </c>
      <c r="Y181" s="20" t="str">
        <f aca="false">IF(A181="","",N(G181)-N(L181)-N(N181))</f>
        <v/>
      </c>
      <c r="Z181" s="21" t="str">
        <f aca="false">IF(OR(G181="",H181="",I181=""),"",ABS(H181-I181)*G181)</f>
        <v/>
      </c>
      <c r="AA181" s="22" t="str">
        <f aca="false">IF(OR(J181="",N(Z181)=0),"",ABS(J181-H181)/ABS(H181-I181))</f>
        <v/>
      </c>
      <c r="AB181" s="23" t="str">
        <f aca="false">IF(U181&lt;&gt;"Closed","",(N(L181)*N(M181)+N(N181)*N(O181)+Y181*Q181)/G181)</f>
        <v/>
      </c>
      <c r="AC181" s="24" t="str">
        <f aca="false">IF(U181&lt;&gt;"Closed","",IF($B181="Short",-1,1)*((N(M181)-H181)*N(L181)+(N(O181)-H181)*N(N181)+(Q181-H181)*Y181)-N(R181))</f>
        <v/>
      </c>
      <c r="AD181" s="25" t="str">
        <f aca="false">IF(OR(AC181="",N(Z181)=0),"",AC181/Z181)</f>
        <v/>
      </c>
      <c r="AE181" s="25" t="str">
        <f aca="false">IF(OR(S181="",N(Z181)=0),"",IF($B181="Short",-1,1)*(S181-H181)*G181/Z181)</f>
        <v/>
      </c>
      <c r="AF181" s="25" t="str">
        <f aca="false">IF(OR(T181="",N(Z181)=0),"",IF($B181="Short",-1,1)*(T181-H181)*G181/Z181)</f>
        <v/>
      </c>
      <c r="AG181" s="21" t="str">
        <f aca="false">IF(U181&lt;&gt;"Open","",Y181*MAX(0,IF($B181="Short",-1,1)*(H181-IF(K181="",I181,K181))))</f>
        <v/>
      </c>
      <c r="AH181" s="26" t="str">
        <f aca="false">IF(U181&lt;&gt;"Closed","",DATE(YEAR(P181),MONTH(P181),1))</f>
        <v/>
      </c>
      <c r="AI181" s="19" t="str">
        <f aca="false">IF(U181&lt;&gt;"Closed","",COUNTIFS($U$7:$U$506,"Closed",$P$7:$P$506,"&lt;"&amp;P181)+COUNTIFS($U$7:U181,"Closed",$P$7:P181,P181))</f>
        <v/>
      </c>
    </row>
    <row r="182" customFormat="false" ht="15" hidden="false" customHeight="false" outlineLevel="0" collapsed="false">
      <c r="A182" s="13"/>
      <c r="B182" s="48"/>
      <c r="C182" s="48"/>
      <c r="D182" s="48"/>
      <c r="E182" s="15"/>
      <c r="F182" s="15"/>
      <c r="G182" s="16"/>
      <c r="H182" s="17"/>
      <c r="I182" s="17"/>
      <c r="J182" s="17"/>
      <c r="K182" s="17"/>
      <c r="L182" s="16"/>
      <c r="M182" s="17"/>
      <c r="N182" s="16"/>
      <c r="O182" s="17"/>
      <c r="P182" s="15"/>
      <c r="Q182" s="17"/>
      <c r="R182" s="17"/>
      <c r="S182" s="17"/>
      <c r="T182" s="17"/>
      <c r="U182" s="18" t="str">
        <f aca="false">IF(A182="","",IF(N(G182)-N(L182)-N(N182)&lt;0,"Check shares",IF(AND(P182&lt;&gt;"",Q182&lt;&gt;""),"Closed","Open")))</f>
        <v/>
      </c>
      <c r="V182" s="19" t="str">
        <f aca="false">IF(OR(F182="",P182=""),"",NETWORKDAYS(F182,P182,Lists!$F$5:$F$40)-1)</f>
        <v/>
      </c>
      <c r="W182" s="18" t="str">
        <f aca="false">IF(V182="","",IF(V182=0,"Same day","Overnight"))</f>
        <v/>
      </c>
      <c r="X182" s="18" t="str">
        <f aca="false">IF(OR(E182="",F182=""),"",IF(AND(E182&gt;=F182,OR(P182="",E182&lt;=P182)),"Yes","No"))</f>
        <v/>
      </c>
      <c r="Y182" s="20" t="str">
        <f aca="false">IF(A182="","",N(G182)-N(L182)-N(N182))</f>
        <v/>
      </c>
      <c r="Z182" s="21" t="str">
        <f aca="false">IF(OR(G182="",H182="",I182=""),"",ABS(H182-I182)*G182)</f>
        <v/>
      </c>
      <c r="AA182" s="22" t="str">
        <f aca="false">IF(OR(J182="",N(Z182)=0),"",ABS(J182-H182)/ABS(H182-I182))</f>
        <v/>
      </c>
      <c r="AB182" s="23" t="str">
        <f aca="false">IF(U182&lt;&gt;"Closed","",(N(L182)*N(M182)+N(N182)*N(O182)+Y182*Q182)/G182)</f>
        <v/>
      </c>
      <c r="AC182" s="24" t="str">
        <f aca="false">IF(U182&lt;&gt;"Closed","",IF($B182="Short",-1,1)*((N(M182)-H182)*N(L182)+(N(O182)-H182)*N(N182)+(Q182-H182)*Y182)-N(R182))</f>
        <v/>
      </c>
      <c r="AD182" s="25" t="str">
        <f aca="false">IF(OR(AC182="",N(Z182)=0),"",AC182/Z182)</f>
        <v/>
      </c>
      <c r="AE182" s="25" t="str">
        <f aca="false">IF(OR(S182="",N(Z182)=0),"",IF($B182="Short",-1,1)*(S182-H182)*G182/Z182)</f>
        <v/>
      </c>
      <c r="AF182" s="25" t="str">
        <f aca="false">IF(OR(T182="",N(Z182)=0),"",IF($B182="Short",-1,1)*(T182-H182)*G182/Z182)</f>
        <v/>
      </c>
      <c r="AG182" s="21" t="str">
        <f aca="false">IF(U182&lt;&gt;"Open","",Y182*MAX(0,IF($B182="Short",-1,1)*(H182-IF(K182="",I182,K182))))</f>
        <v/>
      </c>
      <c r="AH182" s="26" t="str">
        <f aca="false">IF(U182&lt;&gt;"Closed","",DATE(YEAR(P182),MONTH(P182),1))</f>
        <v/>
      </c>
      <c r="AI182" s="19" t="str">
        <f aca="false">IF(U182&lt;&gt;"Closed","",COUNTIFS($U$7:$U$506,"Closed",$P$7:$P$506,"&lt;"&amp;P182)+COUNTIFS($U$7:U182,"Closed",$P$7:P182,P182))</f>
        <v/>
      </c>
    </row>
    <row r="183" customFormat="false" ht="15" hidden="false" customHeight="false" outlineLevel="0" collapsed="false">
      <c r="A183" s="13"/>
      <c r="B183" s="48"/>
      <c r="C183" s="48"/>
      <c r="D183" s="48"/>
      <c r="E183" s="15"/>
      <c r="F183" s="15"/>
      <c r="G183" s="16"/>
      <c r="H183" s="17"/>
      <c r="I183" s="17"/>
      <c r="J183" s="17"/>
      <c r="K183" s="17"/>
      <c r="L183" s="16"/>
      <c r="M183" s="17"/>
      <c r="N183" s="16"/>
      <c r="O183" s="17"/>
      <c r="P183" s="15"/>
      <c r="Q183" s="17"/>
      <c r="R183" s="17"/>
      <c r="S183" s="17"/>
      <c r="T183" s="17"/>
      <c r="U183" s="18" t="str">
        <f aca="false">IF(A183="","",IF(N(G183)-N(L183)-N(N183)&lt;0,"Check shares",IF(AND(P183&lt;&gt;"",Q183&lt;&gt;""),"Closed","Open")))</f>
        <v/>
      </c>
      <c r="V183" s="19" t="str">
        <f aca="false">IF(OR(F183="",P183=""),"",NETWORKDAYS(F183,P183,Lists!$F$5:$F$40)-1)</f>
        <v/>
      </c>
      <c r="W183" s="18" t="str">
        <f aca="false">IF(V183="","",IF(V183=0,"Same day","Overnight"))</f>
        <v/>
      </c>
      <c r="X183" s="18" t="str">
        <f aca="false">IF(OR(E183="",F183=""),"",IF(AND(E183&gt;=F183,OR(P183="",E183&lt;=P183)),"Yes","No"))</f>
        <v/>
      </c>
      <c r="Y183" s="20" t="str">
        <f aca="false">IF(A183="","",N(G183)-N(L183)-N(N183))</f>
        <v/>
      </c>
      <c r="Z183" s="21" t="str">
        <f aca="false">IF(OR(G183="",H183="",I183=""),"",ABS(H183-I183)*G183)</f>
        <v/>
      </c>
      <c r="AA183" s="22" t="str">
        <f aca="false">IF(OR(J183="",N(Z183)=0),"",ABS(J183-H183)/ABS(H183-I183))</f>
        <v/>
      </c>
      <c r="AB183" s="23" t="str">
        <f aca="false">IF(U183&lt;&gt;"Closed","",(N(L183)*N(M183)+N(N183)*N(O183)+Y183*Q183)/G183)</f>
        <v/>
      </c>
      <c r="AC183" s="24" t="str">
        <f aca="false">IF(U183&lt;&gt;"Closed","",IF($B183="Short",-1,1)*((N(M183)-H183)*N(L183)+(N(O183)-H183)*N(N183)+(Q183-H183)*Y183)-N(R183))</f>
        <v/>
      </c>
      <c r="AD183" s="25" t="str">
        <f aca="false">IF(OR(AC183="",N(Z183)=0),"",AC183/Z183)</f>
        <v/>
      </c>
      <c r="AE183" s="25" t="str">
        <f aca="false">IF(OR(S183="",N(Z183)=0),"",IF($B183="Short",-1,1)*(S183-H183)*G183/Z183)</f>
        <v/>
      </c>
      <c r="AF183" s="25" t="str">
        <f aca="false">IF(OR(T183="",N(Z183)=0),"",IF($B183="Short",-1,1)*(T183-H183)*G183/Z183)</f>
        <v/>
      </c>
      <c r="AG183" s="21" t="str">
        <f aca="false">IF(U183&lt;&gt;"Open","",Y183*MAX(0,IF($B183="Short",-1,1)*(H183-IF(K183="",I183,K183))))</f>
        <v/>
      </c>
      <c r="AH183" s="26" t="str">
        <f aca="false">IF(U183&lt;&gt;"Closed","",DATE(YEAR(P183),MONTH(P183),1))</f>
        <v/>
      </c>
      <c r="AI183" s="19" t="str">
        <f aca="false">IF(U183&lt;&gt;"Closed","",COUNTIFS($U$7:$U$506,"Closed",$P$7:$P$506,"&lt;"&amp;P183)+COUNTIFS($U$7:U183,"Closed",$P$7:P183,P183))</f>
        <v/>
      </c>
    </row>
    <row r="184" customFormat="false" ht="15" hidden="false" customHeight="false" outlineLevel="0" collapsed="false">
      <c r="A184" s="13"/>
      <c r="B184" s="48"/>
      <c r="C184" s="48"/>
      <c r="D184" s="48"/>
      <c r="E184" s="15"/>
      <c r="F184" s="15"/>
      <c r="G184" s="16"/>
      <c r="H184" s="17"/>
      <c r="I184" s="17"/>
      <c r="J184" s="17"/>
      <c r="K184" s="17"/>
      <c r="L184" s="16"/>
      <c r="M184" s="17"/>
      <c r="N184" s="16"/>
      <c r="O184" s="17"/>
      <c r="P184" s="15"/>
      <c r="Q184" s="17"/>
      <c r="R184" s="17"/>
      <c r="S184" s="17"/>
      <c r="T184" s="17"/>
      <c r="U184" s="18" t="str">
        <f aca="false">IF(A184="","",IF(N(G184)-N(L184)-N(N184)&lt;0,"Check shares",IF(AND(P184&lt;&gt;"",Q184&lt;&gt;""),"Closed","Open")))</f>
        <v/>
      </c>
      <c r="V184" s="19" t="str">
        <f aca="false">IF(OR(F184="",P184=""),"",NETWORKDAYS(F184,P184,Lists!$F$5:$F$40)-1)</f>
        <v/>
      </c>
      <c r="W184" s="18" t="str">
        <f aca="false">IF(V184="","",IF(V184=0,"Same day","Overnight"))</f>
        <v/>
      </c>
      <c r="X184" s="18" t="str">
        <f aca="false">IF(OR(E184="",F184=""),"",IF(AND(E184&gt;=F184,OR(P184="",E184&lt;=P184)),"Yes","No"))</f>
        <v/>
      </c>
      <c r="Y184" s="20" t="str">
        <f aca="false">IF(A184="","",N(G184)-N(L184)-N(N184))</f>
        <v/>
      </c>
      <c r="Z184" s="21" t="str">
        <f aca="false">IF(OR(G184="",H184="",I184=""),"",ABS(H184-I184)*G184)</f>
        <v/>
      </c>
      <c r="AA184" s="22" t="str">
        <f aca="false">IF(OR(J184="",N(Z184)=0),"",ABS(J184-H184)/ABS(H184-I184))</f>
        <v/>
      </c>
      <c r="AB184" s="23" t="str">
        <f aca="false">IF(U184&lt;&gt;"Closed","",(N(L184)*N(M184)+N(N184)*N(O184)+Y184*Q184)/G184)</f>
        <v/>
      </c>
      <c r="AC184" s="24" t="str">
        <f aca="false">IF(U184&lt;&gt;"Closed","",IF($B184="Short",-1,1)*((N(M184)-H184)*N(L184)+(N(O184)-H184)*N(N184)+(Q184-H184)*Y184)-N(R184))</f>
        <v/>
      </c>
      <c r="AD184" s="25" t="str">
        <f aca="false">IF(OR(AC184="",N(Z184)=0),"",AC184/Z184)</f>
        <v/>
      </c>
      <c r="AE184" s="25" t="str">
        <f aca="false">IF(OR(S184="",N(Z184)=0),"",IF($B184="Short",-1,1)*(S184-H184)*G184/Z184)</f>
        <v/>
      </c>
      <c r="AF184" s="25" t="str">
        <f aca="false">IF(OR(T184="",N(Z184)=0),"",IF($B184="Short",-1,1)*(T184-H184)*G184/Z184)</f>
        <v/>
      </c>
      <c r="AG184" s="21" t="str">
        <f aca="false">IF(U184&lt;&gt;"Open","",Y184*MAX(0,IF($B184="Short",-1,1)*(H184-IF(K184="",I184,K184))))</f>
        <v/>
      </c>
      <c r="AH184" s="26" t="str">
        <f aca="false">IF(U184&lt;&gt;"Closed","",DATE(YEAR(P184),MONTH(P184),1))</f>
        <v/>
      </c>
      <c r="AI184" s="19" t="str">
        <f aca="false">IF(U184&lt;&gt;"Closed","",COUNTIFS($U$7:$U$506,"Closed",$P$7:$P$506,"&lt;"&amp;P184)+COUNTIFS($U$7:U184,"Closed",$P$7:P184,P184))</f>
        <v/>
      </c>
    </row>
    <row r="185" customFormat="false" ht="15" hidden="false" customHeight="false" outlineLevel="0" collapsed="false">
      <c r="A185" s="13"/>
      <c r="B185" s="48"/>
      <c r="C185" s="48"/>
      <c r="D185" s="48"/>
      <c r="E185" s="15"/>
      <c r="F185" s="15"/>
      <c r="G185" s="16"/>
      <c r="H185" s="17"/>
      <c r="I185" s="17"/>
      <c r="J185" s="17"/>
      <c r="K185" s="17"/>
      <c r="L185" s="16"/>
      <c r="M185" s="17"/>
      <c r="N185" s="16"/>
      <c r="O185" s="17"/>
      <c r="P185" s="15"/>
      <c r="Q185" s="17"/>
      <c r="R185" s="17"/>
      <c r="S185" s="17"/>
      <c r="T185" s="17"/>
      <c r="U185" s="18" t="str">
        <f aca="false">IF(A185="","",IF(N(G185)-N(L185)-N(N185)&lt;0,"Check shares",IF(AND(P185&lt;&gt;"",Q185&lt;&gt;""),"Closed","Open")))</f>
        <v/>
      </c>
      <c r="V185" s="19" t="str">
        <f aca="false">IF(OR(F185="",P185=""),"",NETWORKDAYS(F185,P185,Lists!$F$5:$F$40)-1)</f>
        <v/>
      </c>
      <c r="W185" s="18" t="str">
        <f aca="false">IF(V185="","",IF(V185=0,"Same day","Overnight"))</f>
        <v/>
      </c>
      <c r="X185" s="18" t="str">
        <f aca="false">IF(OR(E185="",F185=""),"",IF(AND(E185&gt;=F185,OR(P185="",E185&lt;=P185)),"Yes","No"))</f>
        <v/>
      </c>
      <c r="Y185" s="20" t="str">
        <f aca="false">IF(A185="","",N(G185)-N(L185)-N(N185))</f>
        <v/>
      </c>
      <c r="Z185" s="21" t="str">
        <f aca="false">IF(OR(G185="",H185="",I185=""),"",ABS(H185-I185)*G185)</f>
        <v/>
      </c>
      <c r="AA185" s="22" t="str">
        <f aca="false">IF(OR(J185="",N(Z185)=0),"",ABS(J185-H185)/ABS(H185-I185))</f>
        <v/>
      </c>
      <c r="AB185" s="23" t="str">
        <f aca="false">IF(U185&lt;&gt;"Closed","",(N(L185)*N(M185)+N(N185)*N(O185)+Y185*Q185)/G185)</f>
        <v/>
      </c>
      <c r="AC185" s="24" t="str">
        <f aca="false">IF(U185&lt;&gt;"Closed","",IF($B185="Short",-1,1)*((N(M185)-H185)*N(L185)+(N(O185)-H185)*N(N185)+(Q185-H185)*Y185)-N(R185))</f>
        <v/>
      </c>
      <c r="AD185" s="25" t="str">
        <f aca="false">IF(OR(AC185="",N(Z185)=0),"",AC185/Z185)</f>
        <v/>
      </c>
      <c r="AE185" s="25" t="str">
        <f aca="false">IF(OR(S185="",N(Z185)=0),"",IF($B185="Short",-1,1)*(S185-H185)*G185/Z185)</f>
        <v/>
      </c>
      <c r="AF185" s="25" t="str">
        <f aca="false">IF(OR(T185="",N(Z185)=0),"",IF($B185="Short",-1,1)*(T185-H185)*G185/Z185)</f>
        <v/>
      </c>
      <c r="AG185" s="21" t="str">
        <f aca="false">IF(U185&lt;&gt;"Open","",Y185*MAX(0,IF($B185="Short",-1,1)*(H185-IF(K185="",I185,K185))))</f>
        <v/>
      </c>
      <c r="AH185" s="26" t="str">
        <f aca="false">IF(U185&lt;&gt;"Closed","",DATE(YEAR(P185),MONTH(P185),1))</f>
        <v/>
      </c>
      <c r="AI185" s="19" t="str">
        <f aca="false">IF(U185&lt;&gt;"Closed","",COUNTIFS($U$7:$U$506,"Closed",$P$7:$P$506,"&lt;"&amp;P185)+COUNTIFS($U$7:U185,"Closed",$P$7:P185,P185))</f>
        <v/>
      </c>
    </row>
    <row r="186" customFormat="false" ht="15" hidden="false" customHeight="false" outlineLevel="0" collapsed="false">
      <c r="A186" s="13"/>
      <c r="B186" s="48"/>
      <c r="C186" s="48"/>
      <c r="D186" s="48"/>
      <c r="E186" s="15"/>
      <c r="F186" s="15"/>
      <c r="G186" s="16"/>
      <c r="H186" s="17"/>
      <c r="I186" s="17"/>
      <c r="J186" s="17"/>
      <c r="K186" s="17"/>
      <c r="L186" s="16"/>
      <c r="M186" s="17"/>
      <c r="N186" s="16"/>
      <c r="O186" s="17"/>
      <c r="P186" s="15"/>
      <c r="Q186" s="17"/>
      <c r="R186" s="17"/>
      <c r="S186" s="17"/>
      <c r="T186" s="17"/>
      <c r="U186" s="18" t="str">
        <f aca="false">IF(A186="","",IF(N(G186)-N(L186)-N(N186)&lt;0,"Check shares",IF(AND(P186&lt;&gt;"",Q186&lt;&gt;""),"Closed","Open")))</f>
        <v/>
      </c>
      <c r="V186" s="19" t="str">
        <f aca="false">IF(OR(F186="",P186=""),"",NETWORKDAYS(F186,P186,Lists!$F$5:$F$40)-1)</f>
        <v/>
      </c>
      <c r="W186" s="18" t="str">
        <f aca="false">IF(V186="","",IF(V186=0,"Same day","Overnight"))</f>
        <v/>
      </c>
      <c r="X186" s="18" t="str">
        <f aca="false">IF(OR(E186="",F186=""),"",IF(AND(E186&gt;=F186,OR(P186="",E186&lt;=P186)),"Yes","No"))</f>
        <v/>
      </c>
      <c r="Y186" s="20" t="str">
        <f aca="false">IF(A186="","",N(G186)-N(L186)-N(N186))</f>
        <v/>
      </c>
      <c r="Z186" s="21" t="str">
        <f aca="false">IF(OR(G186="",H186="",I186=""),"",ABS(H186-I186)*G186)</f>
        <v/>
      </c>
      <c r="AA186" s="22" t="str">
        <f aca="false">IF(OR(J186="",N(Z186)=0),"",ABS(J186-H186)/ABS(H186-I186))</f>
        <v/>
      </c>
      <c r="AB186" s="23" t="str">
        <f aca="false">IF(U186&lt;&gt;"Closed","",(N(L186)*N(M186)+N(N186)*N(O186)+Y186*Q186)/G186)</f>
        <v/>
      </c>
      <c r="AC186" s="24" t="str">
        <f aca="false">IF(U186&lt;&gt;"Closed","",IF($B186="Short",-1,1)*((N(M186)-H186)*N(L186)+(N(O186)-H186)*N(N186)+(Q186-H186)*Y186)-N(R186))</f>
        <v/>
      </c>
      <c r="AD186" s="25" t="str">
        <f aca="false">IF(OR(AC186="",N(Z186)=0),"",AC186/Z186)</f>
        <v/>
      </c>
      <c r="AE186" s="25" t="str">
        <f aca="false">IF(OR(S186="",N(Z186)=0),"",IF($B186="Short",-1,1)*(S186-H186)*G186/Z186)</f>
        <v/>
      </c>
      <c r="AF186" s="25" t="str">
        <f aca="false">IF(OR(T186="",N(Z186)=0),"",IF($B186="Short",-1,1)*(T186-H186)*G186/Z186)</f>
        <v/>
      </c>
      <c r="AG186" s="21" t="str">
        <f aca="false">IF(U186&lt;&gt;"Open","",Y186*MAX(0,IF($B186="Short",-1,1)*(H186-IF(K186="",I186,K186))))</f>
        <v/>
      </c>
      <c r="AH186" s="26" t="str">
        <f aca="false">IF(U186&lt;&gt;"Closed","",DATE(YEAR(P186),MONTH(P186),1))</f>
        <v/>
      </c>
      <c r="AI186" s="19" t="str">
        <f aca="false">IF(U186&lt;&gt;"Closed","",COUNTIFS($U$7:$U$506,"Closed",$P$7:$P$506,"&lt;"&amp;P186)+COUNTIFS($U$7:U186,"Closed",$P$7:P186,P186))</f>
        <v/>
      </c>
    </row>
    <row r="187" customFormat="false" ht="15" hidden="false" customHeight="false" outlineLevel="0" collapsed="false">
      <c r="A187" s="13"/>
      <c r="B187" s="48"/>
      <c r="C187" s="48"/>
      <c r="D187" s="48"/>
      <c r="E187" s="15"/>
      <c r="F187" s="15"/>
      <c r="G187" s="16"/>
      <c r="H187" s="17"/>
      <c r="I187" s="17"/>
      <c r="J187" s="17"/>
      <c r="K187" s="17"/>
      <c r="L187" s="16"/>
      <c r="M187" s="17"/>
      <c r="N187" s="16"/>
      <c r="O187" s="17"/>
      <c r="P187" s="15"/>
      <c r="Q187" s="17"/>
      <c r="R187" s="17"/>
      <c r="S187" s="17"/>
      <c r="T187" s="17"/>
      <c r="U187" s="18" t="str">
        <f aca="false">IF(A187="","",IF(N(G187)-N(L187)-N(N187)&lt;0,"Check shares",IF(AND(P187&lt;&gt;"",Q187&lt;&gt;""),"Closed","Open")))</f>
        <v/>
      </c>
      <c r="V187" s="19" t="str">
        <f aca="false">IF(OR(F187="",P187=""),"",NETWORKDAYS(F187,P187,Lists!$F$5:$F$40)-1)</f>
        <v/>
      </c>
      <c r="W187" s="18" t="str">
        <f aca="false">IF(V187="","",IF(V187=0,"Same day","Overnight"))</f>
        <v/>
      </c>
      <c r="X187" s="18" t="str">
        <f aca="false">IF(OR(E187="",F187=""),"",IF(AND(E187&gt;=F187,OR(P187="",E187&lt;=P187)),"Yes","No"))</f>
        <v/>
      </c>
      <c r="Y187" s="20" t="str">
        <f aca="false">IF(A187="","",N(G187)-N(L187)-N(N187))</f>
        <v/>
      </c>
      <c r="Z187" s="21" t="str">
        <f aca="false">IF(OR(G187="",H187="",I187=""),"",ABS(H187-I187)*G187)</f>
        <v/>
      </c>
      <c r="AA187" s="22" t="str">
        <f aca="false">IF(OR(J187="",N(Z187)=0),"",ABS(J187-H187)/ABS(H187-I187))</f>
        <v/>
      </c>
      <c r="AB187" s="23" t="str">
        <f aca="false">IF(U187&lt;&gt;"Closed","",(N(L187)*N(M187)+N(N187)*N(O187)+Y187*Q187)/G187)</f>
        <v/>
      </c>
      <c r="AC187" s="24" t="str">
        <f aca="false">IF(U187&lt;&gt;"Closed","",IF($B187="Short",-1,1)*((N(M187)-H187)*N(L187)+(N(O187)-H187)*N(N187)+(Q187-H187)*Y187)-N(R187))</f>
        <v/>
      </c>
      <c r="AD187" s="25" t="str">
        <f aca="false">IF(OR(AC187="",N(Z187)=0),"",AC187/Z187)</f>
        <v/>
      </c>
      <c r="AE187" s="25" t="str">
        <f aca="false">IF(OR(S187="",N(Z187)=0),"",IF($B187="Short",-1,1)*(S187-H187)*G187/Z187)</f>
        <v/>
      </c>
      <c r="AF187" s="25" t="str">
        <f aca="false">IF(OR(T187="",N(Z187)=0),"",IF($B187="Short",-1,1)*(T187-H187)*G187/Z187)</f>
        <v/>
      </c>
      <c r="AG187" s="21" t="str">
        <f aca="false">IF(U187&lt;&gt;"Open","",Y187*MAX(0,IF($B187="Short",-1,1)*(H187-IF(K187="",I187,K187))))</f>
        <v/>
      </c>
      <c r="AH187" s="26" t="str">
        <f aca="false">IF(U187&lt;&gt;"Closed","",DATE(YEAR(P187),MONTH(P187),1))</f>
        <v/>
      </c>
      <c r="AI187" s="19" t="str">
        <f aca="false">IF(U187&lt;&gt;"Closed","",COUNTIFS($U$7:$U$506,"Closed",$P$7:$P$506,"&lt;"&amp;P187)+COUNTIFS($U$7:U187,"Closed",$P$7:P187,P187))</f>
        <v/>
      </c>
    </row>
    <row r="188" customFormat="false" ht="15" hidden="false" customHeight="false" outlineLevel="0" collapsed="false">
      <c r="A188" s="13"/>
      <c r="B188" s="48"/>
      <c r="C188" s="48"/>
      <c r="D188" s="48"/>
      <c r="E188" s="15"/>
      <c r="F188" s="15"/>
      <c r="G188" s="16"/>
      <c r="H188" s="17"/>
      <c r="I188" s="17"/>
      <c r="J188" s="17"/>
      <c r="K188" s="17"/>
      <c r="L188" s="16"/>
      <c r="M188" s="17"/>
      <c r="N188" s="16"/>
      <c r="O188" s="17"/>
      <c r="P188" s="15"/>
      <c r="Q188" s="17"/>
      <c r="R188" s="17"/>
      <c r="S188" s="17"/>
      <c r="T188" s="17"/>
      <c r="U188" s="18" t="str">
        <f aca="false">IF(A188="","",IF(N(G188)-N(L188)-N(N188)&lt;0,"Check shares",IF(AND(P188&lt;&gt;"",Q188&lt;&gt;""),"Closed","Open")))</f>
        <v/>
      </c>
      <c r="V188" s="19" t="str">
        <f aca="false">IF(OR(F188="",P188=""),"",NETWORKDAYS(F188,P188,Lists!$F$5:$F$40)-1)</f>
        <v/>
      </c>
      <c r="W188" s="18" t="str">
        <f aca="false">IF(V188="","",IF(V188=0,"Same day","Overnight"))</f>
        <v/>
      </c>
      <c r="X188" s="18" t="str">
        <f aca="false">IF(OR(E188="",F188=""),"",IF(AND(E188&gt;=F188,OR(P188="",E188&lt;=P188)),"Yes","No"))</f>
        <v/>
      </c>
      <c r="Y188" s="20" t="str">
        <f aca="false">IF(A188="","",N(G188)-N(L188)-N(N188))</f>
        <v/>
      </c>
      <c r="Z188" s="21" t="str">
        <f aca="false">IF(OR(G188="",H188="",I188=""),"",ABS(H188-I188)*G188)</f>
        <v/>
      </c>
      <c r="AA188" s="22" t="str">
        <f aca="false">IF(OR(J188="",N(Z188)=0),"",ABS(J188-H188)/ABS(H188-I188))</f>
        <v/>
      </c>
      <c r="AB188" s="23" t="str">
        <f aca="false">IF(U188&lt;&gt;"Closed","",(N(L188)*N(M188)+N(N188)*N(O188)+Y188*Q188)/G188)</f>
        <v/>
      </c>
      <c r="AC188" s="24" t="str">
        <f aca="false">IF(U188&lt;&gt;"Closed","",IF($B188="Short",-1,1)*((N(M188)-H188)*N(L188)+(N(O188)-H188)*N(N188)+(Q188-H188)*Y188)-N(R188))</f>
        <v/>
      </c>
      <c r="AD188" s="25" t="str">
        <f aca="false">IF(OR(AC188="",N(Z188)=0),"",AC188/Z188)</f>
        <v/>
      </c>
      <c r="AE188" s="25" t="str">
        <f aca="false">IF(OR(S188="",N(Z188)=0),"",IF($B188="Short",-1,1)*(S188-H188)*G188/Z188)</f>
        <v/>
      </c>
      <c r="AF188" s="25" t="str">
        <f aca="false">IF(OR(T188="",N(Z188)=0),"",IF($B188="Short",-1,1)*(T188-H188)*G188/Z188)</f>
        <v/>
      </c>
      <c r="AG188" s="21" t="str">
        <f aca="false">IF(U188&lt;&gt;"Open","",Y188*MAX(0,IF($B188="Short",-1,1)*(H188-IF(K188="",I188,K188))))</f>
        <v/>
      </c>
      <c r="AH188" s="26" t="str">
        <f aca="false">IF(U188&lt;&gt;"Closed","",DATE(YEAR(P188),MONTH(P188),1))</f>
        <v/>
      </c>
      <c r="AI188" s="19" t="str">
        <f aca="false">IF(U188&lt;&gt;"Closed","",COUNTIFS($U$7:$U$506,"Closed",$P$7:$P$506,"&lt;"&amp;P188)+COUNTIFS($U$7:U188,"Closed",$P$7:P188,P188))</f>
        <v/>
      </c>
    </row>
    <row r="189" customFormat="false" ht="15" hidden="false" customHeight="false" outlineLevel="0" collapsed="false">
      <c r="A189" s="13"/>
      <c r="B189" s="48"/>
      <c r="C189" s="48"/>
      <c r="D189" s="48"/>
      <c r="E189" s="15"/>
      <c r="F189" s="15"/>
      <c r="G189" s="16"/>
      <c r="H189" s="17"/>
      <c r="I189" s="17"/>
      <c r="J189" s="17"/>
      <c r="K189" s="17"/>
      <c r="L189" s="16"/>
      <c r="M189" s="17"/>
      <c r="N189" s="16"/>
      <c r="O189" s="17"/>
      <c r="P189" s="15"/>
      <c r="Q189" s="17"/>
      <c r="R189" s="17"/>
      <c r="S189" s="17"/>
      <c r="T189" s="17"/>
      <c r="U189" s="18" t="str">
        <f aca="false">IF(A189="","",IF(N(G189)-N(L189)-N(N189)&lt;0,"Check shares",IF(AND(P189&lt;&gt;"",Q189&lt;&gt;""),"Closed","Open")))</f>
        <v/>
      </c>
      <c r="V189" s="19" t="str">
        <f aca="false">IF(OR(F189="",P189=""),"",NETWORKDAYS(F189,P189,Lists!$F$5:$F$40)-1)</f>
        <v/>
      </c>
      <c r="W189" s="18" t="str">
        <f aca="false">IF(V189="","",IF(V189=0,"Same day","Overnight"))</f>
        <v/>
      </c>
      <c r="X189" s="18" t="str">
        <f aca="false">IF(OR(E189="",F189=""),"",IF(AND(E189&gt;=F189,OR(P189="",E189&lt;=P189)),"Yes","No"))</f>
        <v/>
      </c>
      <c r="Y189" s="20" t="str">
        <f aca="false">IF(A189="","",N(G189)-N(L189)-N(N189))</f>
        <v/>
      </c>
      <c r="Z189" s="21" t="str">
        <f aca="false">IF(OR(G189="",H189="",I189=""),"",ABS(H189-I189)*G189)</f>
        <v/>
      </c>
      <c r="AA189" s="22" t="str">
        <f aca="false">IF(OR(J189="",N(Z189)=0),"",ABS(J189-H189)/ABS(H189-I189))</f>
        <v/>
      </c>
      <c r="AB189" s="23" t="str">
        <f aca="false">IF(U189&lt;&gt;"Closed","",(N(L189)*N(M189)+N(N189)*N(O189)+Y189*Q189)/G189)</f>
        <v/>
      </c>
      <c r="AC189" s="24" t="str">
        <f aca="false">IF(U189&lt;&gt;"Closed","",IF($B189="Short",-1,1)*((N(M189)-H189)*N(L189)+(N(O189)-H189)*N(N189)+(Q189-H189)*Y189)-N(R189))</f>
        <v/>
      </c>
      <c r="AD189" s="25" t="str">
        <f aca="false">IF(OR(AC189="",N(Z189)=0),"",AC189/Z189)</f>
        <v/>
      </c>
      <c r="AE189" s="25" t="str">
        <f aca="false">IF(OR(S189="",N(Z189)=0),"",IF($B189="Short",-1,1)*(S189-H189)*G189/Z189)</f>
        <v/>
      </c>
      <c r="AF189" s="25" t="str">
        <f aca="false">IF(OR(T189="",N(Z189)=0),"",IF($B189="Short",-1,1)*(T189-H189)*G189/Z189)</f>
        <v/>
      </c>
      <c r="AG189" s="21" t="str">
        <f aca="false">IF(U189&lt;&gt;"Open","",Y189*MAX(0,IF($B189="Short",-1,1)*(H189-IF(K189="",I189,K189))))</f>
        <v/>
      </c>
      <c r="AH189" s="26" t="str">
        <f aca="false">IF(U189&lt;&gt;"Closed","",DATE(YEAR(P189),MONTH(P189),1))</f>
        <v/>
      </c>
      <c r="AI189" s="19" t="str">
        <f aca="false">IF(U189&lt;&gt;"Closed","",COUNTIFS($U$7:$U$506,"Closed",$P$7:$P$506,"&lt;"&amp;P189)+COUNTIFS($U$7:U189,"Closed",$P$7:P189,P189))</f>
        <v/>
      </c>
    </row>
    <row r="190" customFormat="false" ht="15" hidden="false" customHeight="false" outlineLevel="0" collapsed="false">
      <c r="A190" s="13"/>
      <c r="B190" s="48"/>
      <c r="C190" s="48"/>
      <c r="D190" s="48"/>
      <c r="E190" s="15"/>
      <c r="F190" s="15"/>
      <c r="G190" s="16"/>
      <c r="H190" s="17"/>
      <c r="I190" s="17"/>
      <c r="J190" s="17"/>
      <c r="K190" s="17"/>
      <c r="L190" s="16"/>
      <c r="M190" s="17"/>
      <c r="N190" s="16"/>
      <c r="O190" s="17"/>
      <c r="P190" s="15"/>
      <c r="Q190" s="17"/>
      <c r="R190" s="17"/>
      <c r="S190" s="17"/>
      <c r="T190" s="17"/>
      <c r="U190" s="18" t="str">
        <f aca="false">IF(A190="","",IF(N(G190)-N(L190)-N(N190)&lt;0,"Check shares",IF(AND(P190&lt;&gt;"",Q190&lt;&gt;""),"Closed","Open")))</f>
        <v/>
      </c>
      <c r="V190" s="19" t="str">
        <f aca="false">IF(OR(F190="",P190=""),"",NETWORKDAYS(F190,P190,Lists!$F$5:$F$40)-1)</f>
        <v/>
      </c>
      <c r="W190" s="18" t="str">
        <f aca="false">IF(V190="","",IF(V190=0,"Same day","Overnight"))</f>
        <v/>
      </c>
      <c r="X190" s="18" t="str">
        <f aca="false">IF(OR(E190="",F190=""),"",IF(AND(E190&gt;=F190,OR(P190="",E190&lt;=P190)),"Yes","No"))</f>
        <v/>
      </c>
      <c r="Y190" s="20" t="str">
        <f aca="false">IF(A190="","",N(G190)-N(L190)-N(N190))</f>
        <v/>
      </c>
      <c r="Z190" s="21" t="str">
        <f aca="false">IF(OR(G190="",H190="",I190=""),"",ABS(H190-I190)*G190)</f>
        <v/>
      </c>
      <c r="AA190" s="22" t="str">
        <f aca="false">IF(OR(J190="",N(Z190)=0),"",ABS(J190-H190)/ABS(H190-I190))</f>
        <v/>
      </c>
      <c r="AB190" s="23" t="str">
        <f aca="false">IF(U190&lt;&gt;"Closed","",(N(L190)*N(M190)+N(N190)*N(O190)+Y190*Q190)/G190)</f>
        <v/>
      </c>
      <c r="AC190" s="24" t="str">
        <f aca="false">IF(U190&lt;&gt;"Closed","",IF($B190="Short",-1,1)*((N(M190)-H190)*N(L190)+(N(O190)-H190)*N(N190)+(Q190-H190)*Y190)-N(R190))</f>
        <v/>
      </c>
      <c r="AD190" s="25" t="str">
        <f aca="false">IF(OR(AC190="",N(Z190)=0),"",AC190/Z190)</f>
        <v/>
      </c>
      <c r="AE190" s="25" t="str">
        <f aca="false">IF(OR(S190="",N(Z190)=0),"",IF($B190="Short",-1,1)*(S190-H190)*G190/Z190)</f>
        <v/>
      </c>
      <c r="AF190" s="25" t="str">
        <f aca="false">IF(OR(T190="",N(Z190)=0),"",IF($B190="Short",-1,1)*(T190-H190)*G190/Z190)</f>
        <v/>
      </c>
      <c r="AG190" s="21" t="str">
        <f aca="false">IF(U190&lt;&gt;"Open","",Y190*MAX(0,IF($B190="Short",-1,1)*(H190-IF(K190="",I190,K190))))</f>
        <v/>
      </c>
      <c r="AH190" s="26" t="str">
        <f aca="false">IF(U190&lt;&gt;"Closed","",DATE(YEAR(P190),MONTH(P190),1))</f>
        <v/>
      </c>
      <c r="AI190" s="19" t="str">
        <f aca="false">IF(U190&lt;&gt;"Closed","",COUNTIFS($U$7:$U$506,"Closed",$P$7:$P$506,"&lt;"&amp;P190)+COUNTIFS($U$7:U190,"Closed",$P$7:P190,P190))</f>
        <v/>
      </c>
    </row>
    <row r="191" customFormat="false" ht="15" hidden="false" customHeight="false" outlineLevel="0" collapsed="false">
      <c r="A191" s="13"/>
      <c r="B191" s="48"/>
      <c r="C191" s="48"/>
      <c r="D191" s="48"/>
      <c r="E191" s="15"/>
      <c r="F191" s="15"/>
      <c r="G191" s="16"/>
      <c r="H191" s="17"/>
      <c r="I191" s="17"/>
      <c r="J191" s="17"/>
      <c r="K191" s="17"/>
      <c r="L191" s="16"/>
      <c r="M191" s="17"/>
      <c r="N191" s="16"/>
      <c r="O191" s="17"/>
      <c r="P191" s="15"/>
      <c r="Q191" s="17"/>
      <c r="R191" s="17"/>
      <c r="S191" s="17"/>
      <c r="T191" s="17"/>
      <c r="U191" s="18" t="str">
        <f aca="false">IF(A191="","",IF(N(G191)-N(L191)-N(N191)&lt;0,"Check shares",IF(AND(P191&lt;&gt;"",Q191&lt;&gt;""),"Closed","Open")))</f>
        <v/>
      </c>
      <c r="V191" s="19" t="str">
        <f aca="false">IF(OR(F191="",P191=""),"",NETWORKDAYS(F191,P191,Lists!$F$5:$F$40)-1)</f>
        <v/>
      </c>
      <c r="W191" s="18" t="str">
        <f aca="false">IF(V191="","",IF(V191=0,"Same day","Overnight"))</f>
        <v/>
      </c>
      <c r="X191" s="18" t="str">
        <f aca="false">IF(OR(E191="",F191=""),"",IF(AND(E191&gt;=F191,OR(P191="",E191&lt;=P191)),"Yes","No"))</f>
        <v/>
      </c>
      <c r="Y191" s="20" t="str">
        <f aca="false">IF(A191="","",N(G191)-N(L191)-N(N191))</f>
        <v/>
      </c>
      <c r="Z191" s="21" t="str">
        <f aca="false">IF(OR(G191="",H191="",I191=""),"",ABS(H191-I191)*G191)</f>
        <v/>
      </c>
      <c r="AA191" s="22" t="str">
        <f aca="false">IF(OR(J191="",N(Z191)=0),"",ABS(J191-H191)/ABS(H191-I191))</f>
        <v/>
      </c>
      <c r="AB191" s="23" t="str">
        <f aca="false">IF(U191&lt;&gt;"Closed","",(N(L191)*N(M191)+N(N191)*N(O191)+Y191*Q191)/G191)</f>
        <v/>
      </c>
      <c r="AC191" s="24" t="str">
        <f aca="false">IF(U191&lt;&gt;"Closed","",IF($B191="Short",-1,1)*((N(M191)-H191)*N(L191)+(N(O191)-H191)*N(N191)+(Q191-H191)*Y191)-N(R191))</f>
        <v/>
      </c>
      <c r="AD191" s="25" t="str">
        <f aca="false">IF(OR(AC191="",N(Z191)=0),"",AC191/Z191)</f>
        <v/>
      </c>
      <c r="AE191" s="25" t="str">
        <f aca="false">IF(OR(S191="",N(Z191)=0),"",IF($B191="Short",-1,1)*(S191-H191)*G191/Z191)</f>
        <v/>
      </c>
      <c r="AF191" s="25" t="str">
        <f aca="false">IF(OR(T191="",N(Z191)=0),"",IF($B191="Short",-1,1)*(T191-H191)*G191/Z191)</f>
        <v/>
      </c>
      <c r="AG191" s="21" t="str">
        <f aca="false">IF(U191&lt;&gt;"Open","",Y191*MAX(0,IF($B191="Short",-1,1)*(H191-IF(K191="",I191,K191))))</f>
        <v/>
      </c>
      <c r="AH191" s="26" t="str">
        <f aca="false">IF(U191&lt;&gt;"Closed","",DATE(YEAR(P191),MONTH(P191),1))</f>
        <v/>
      </c>
      <c r="AI191" s="19" t="str">
        <f aca="false">IF(U191&lt;&gt;"Closed","",COUNTIFS($U$7:$U$506,"Closed",$P$7:$P$506,"&lt;"&amp;P191)+COUNTIFS($U$7:U191,"Closed",$P$7:P191,P191))</f>
        <v/>
      </c>
    </row>
    <row r="192" customFormat="false" ht="15" hidden="false" customHeight="false" outlineLevel="0" collapsed="false">
      <c r="A192" s="13"/>
      <c r="B192" s="48"/>
      <c r="C192" s="48"/>
      <c r="D192" s="48"/>
      <c r="E192" s="15"/>
      <c r="F192" s="15"/>
      <c r="G192" s="16"/>
      <c r="H192" s="17"/>
      <c r="I192" s="17"/>
      <c r="J192" s="17"/>
      <c r="K192" s="17"/>
      <c r="L192" s="16"/>
      <c r="M192" s="17"/>
      <c r="N192" s="16"/>
      <c r="O192" s="17"/>
      <c r="P192" s="15"/>
      <c r="Q192" s="17"/>
      <c r="R192" s="17"/>
      <c r="S192" s="17"/>
      <c r="T192" s="17"/>
      <c r="U192" s="18" t="str">
        <f aca="false">IF(A192="","",IF(N(G192)-N(L192)-N(N192)&lt;0,"Check shares",IF(AND(P192&lt;&gt;"",Q192&lt;&gt;""),"Closed","Open")))</f>
        <v/>
      </c>
      <c r="V192" s="19" t="str">
        <f aca="false">IF(OR(F192="",P192=""),"",NETWORKDAYS(F192,P192,Lists!$F$5:$F$40)-1)</f>
        <v/>
      </c>
      <c r="W192" s="18" t="str">
        <f aca="false">IF(V192="","",IF(V192=0,"Same day","Overnight"))</f>
        <v/>
      </c>
      <c r="X192" s="18" t="str">
        <f aca="false">IF(OR(E192="",F192=""),"",IF(AND(E192&gt;=F192,OR(P192="",E192&lt;=P192)),"Yes","No"))</f>
        <v/>
      </c>
      <c r="Y192" s="20" t="str">
        <f aca="false">IF(A192="","",N(G192)-N(L192)-N(N192))</f>
        <v/>
      </c>
      <c r="Z192" s="21" t="str">
        <f aca="false">IF(OR(G192="",H192="",I192=""),"",ABS(H192-I192)*G192)</f>
        <v/>
      </c>
      <c r="AA192" s="22" t="str">
        <f aca="false">IF(OR(J192="",N(Z192)=0),"",ABS(J192-H192)/ABS(H192-I192))</f>
        <v/>
      </c>
      <c r="AB192" s="23" t="str">
        <f aca="false">IF(U192&lt;&gt;"Closed","",(N(L192)*N(M192)+N(N192)*N(O192)+Y192*Q192)/G192)</f>
        <v/>
      </c>
      <c r="AC192" s="24" t="str">
        <f aca="false">IF(U192&lt;&gt;"Closed","",IF($B192="Short",-1,1)*((N(M192)-H192)*N(L192)+(N(O192)-H192)*N(N192)+(Q192-H192)*Y192)-N(R192))</f>
        <v/>
      </c>
      <c r="AD192" s="25" t="str">
        <f aca="false">IF(OR(AC192="",N(Z192)=0),"",AC192/Z192)</f>
        <v/>
      </c>
      <c r="AE192" s="25" t="str">
        <f aca="false">IF(OR(S192="",N(Z192)=0),"",IF($B192="Short",-1,1)*(S192-H192)*G192/Z192)</f>
        <v/>
      </c>
      <c r="AF192" s="25" t="str">
        <f aca="false">IF(OR(T192="",N(Z192)=0),"",IF($B192="Short",-1,1)*(T192-H192)*G192/Z192)</f>
        <v/>
      </c>
      <c r="AG192" s="21" t="str">
        <f aca="false">IF(U192&lt;&gt;"Open","",Y192*MAX(0,IF($B192="Short",-1,1)*(H192-IF(K192="",I192,K192))))</f>
        <v/>
      </c>
      <c r="AH192" s="26" t="str">
        <f aca="false">IF(U192&lt;&gt;"Closed","",DATE(YEAR(P192),MONTH(P192),1))</f>
        <v/>
      </c>
      <c r="AI192" s="19" t="str">
        <f aca="false">IF(U192&lt;&gt;"Closed","",COUNTIFS($U$7:$U$506,"Closed",$P$7:$P$506,"&lt;"&amp;P192)+COUNTIFS($U$7:U192,"Closed",$P$7:P192,P192))</f>
        <v/>
      </c>
    </row>
    <row r="193" customFormat="false" ht="15" hidden="false" customHeight="false" outlineLevel="0" collapsed="false">
      <c r="A193" s="13"/>
      <c r="B193" s="48"/>
      <c r="C193" s="48"/>
      <c r="D193" s="48"/>
      <c r="E193" s="15"/>
      <c r="F193" s="15"/>
      <c r="G193" s="16"/>
      <c r="H193" s="17"/>
      <c r="I193" s="17"/>
      <c r="J193" s="17"/>
      <c r="K193" s="17"/>
      <c r="L193" s="16"/>
      <c r="M193" s="17"/>
      <c r="N193" s="16"/>
      <c r="O193" s="17"/>
      <c r="P193" s="15"/>
      <c r="Q193" s="17"/>
      <c r="R193" s="17"/>
      <c r="S193" s="17"/>
      <c r="T193" s="17"/>
      <c r="U193" s="18" t="str">
        <f aca="false">IF(A193="","",IF(N(G193)-N(L193)-N(N193)&lt;0,"Check shares",IF(AND(P193&lt;&gt;"",Q193&lt;&gt;""),"Closed","Open")))</f>
        <v/>
      </c>
      <c r="V193" s="19" t="str">
        <f aca="false">IF(OR(F193="",P193=""),"",NETWORKDAYS(F193,P193,Lists!$F$5:$F$40)-1)</f>
        <v/>
      </c>
      <c r="W193" s="18" t="str">
        <f aca="false">IF(V193="","",IF(V193=0,"Same day","Overnight"))</f>
        <v/>
      </c>
      <c r="X193" s="18" t="str">
        <f aca="false">IF(OR(E193="",F193=""),"",IF(AND(E193&gt;=F193,OR(P193="",E193&lt;=P193)),"Yes","No"))</f>
        <v/>
      </c>
      <c r="Y193" s="20" t="str">
        <f aca="false">IF(A193="","",N(G193)-N(L193)-N(N193))</f>
        <v/>
      </c>
      <c r="Z193" s="21" t="str">
        <f aca="false">IF(OR(G193="",H193="",I193=""),"",ABS(H193-I193)*G193)</f>
        <v/>
      </c>
      <c r="AA193" s="22" t="str">
        <f aca="false">IF(OR(J193="",N(Z193)=0),"",ABS(J193-H193)/ABS(H193-I193))</f>
        <v/>
      </c>
      <c r="AB193" s="23" t="str">
        <f aca="false">IF(U193&lt;&gt;"Closed","",(N(L193)*N(M193)+N(N193)*N(O193)+Y193*Q193)/G193)</f>
        <v/>
      </c>
      <c r="AC193" s="24" t="str">
        <f aca="false">IF(U193&lt;&gt;"Closed","",IF($B193="Short",-1,1)*((N(M193)-H193)*N(L193)+(N(O193)-H193)*N(N193)+(Q193-H193)*Y193)-N(R193))</f>
        <v/>
      </c>
      <c r="AD193" s="25" t="str">
        <f aca="false">IF(OR(AC193="",N(Z193)=0),"",AC193/Z193)</f>
        <v/>
      </c>
      <c r="AE193" s="25" t="str">
        <f aca="false">IF(OR(S193="",N(Z193)=0),"",IF($B193="Short",-1,1)*(S193-H193)*G193/Z193)</f>
        <v/>
      </c>
      <c r="AF193" s="25" t="str">
        <f aca="false">IF(OR(T193="",N(Z193)=0),"",IF($B193="Short",-1,1)*(T193-H193)*G193/Z193)</f>
        <v/>
      </c>
      <c r="AG193" s="21" t="str">
        <f aca="false">IF(U193&lt;&gt;"Open","",Y193*MAX(0,IF($B193="Short",-1,1)*(H193-IF(K193="",I193,K193))))</f>
        <v/>
      </c>
      <c r="AH193" s="26" t="str">
        <f aca="false">IF(U193&lt;&gt;"Closed","",DATE(YEAR(P193),MONTH(P193),1))</f>
        <v/>
      </c>
      <c r="AI193" s="19" t="str">
        <f aca="false">IF(U193&lt;&gt;"Closed","",COUNTIFS($U$7:$U$506,"Closed",$P$7:$P$506,"&lt;"&amp;P193)+COUNTIFS($U$7:U193,"Closed",$P$7:P193,P193))</f>
        <v/>
      </c>
    </row>
    <row r="194" customFormat="false" ht="15" hidden="false" customHeight="false" outlineLevel="0" collapsed="false">
      <c r="A194" s="13"/>
      <c r="B194" s="48"/>
      <c r="C194" s="48"/>
      <c r="D194" s="48"/>
      <c r="E194" s="15"/>
      <c r="F194" s="15"/>
      <c r="G194" s="16"/>
      <c r="H194" s="17"/>
      <c r="I194" s="17"/>
      <c r="J194" s="17"/>
      <c r="K194" s="17"/>
      <c r="L194" s="16"/>
      <c r="M194" s="17"/>
      <c r="N194" s="16"/>
      <c r="O194" s="17"/>
      <c r="P194" s="15"/>
      <c r="Q194" s="17"/>
      <c r="R194" s="17"/>
      <c r="S194" s="17"/>
      <c r="T194" s="17"/>
      <c r="U194" s="18" t="str">
        <f aca="false">IF(A194="","",IF(N(G194)-N(L194)-N(N194)&lt;0,"Check shares",IF(AND(P194&lt;&gt;"",Q194&lt;&gt;""),"Closed","Open")))</f>
        <v/>
      </c>
      <c r="V194" s="19" t="str">
        <f aca="false">IF(OR(F194="",P194=""),"",NETWORKDAYS(F194,P194,Lists!$F$5:$F$40)-1)</f>
        <v/>
      </c>
      <c r="W194" s="18" t="str">
        <f aca="false">IF(V194="","",IF(V194=0,"Same day","Overnight"))</f>
        <v/>
      </c>
      <c r="X194" s="18" t="str">
        <f aca="false">IF(OR(E194="",F194=""),"",IF(AND(E194&gt;=F194,OR(P194="",E194&lt;=P194)),"Yes","No"))</f>
        <v/>
      </c>
      <c r="Y194" s="20" t="str">
        <f aca="false">IF(A194="","",N(G194)-N(L194)-N(N194))</f>
        <v/>
      </c>
      <c r="Z194" s="21" t="str">
        <f aca="false">IF(OR(G194="",H194="",I194=""),"",ABS(H194-I194)*G194)</f>
        <v/>
      </c>
      <c r="AA194" s="22" t="str">
        <f aca="false">IF(OR(J194="",N(Z194)=0),"",ABS(J194-H194)/ABS(H194-I194))</f>
        <v/>
      </c>
      <c r="AB194" s="23" t="str">
        <f aca="false">IF(U194&lt;&gt;"Closed","",(N(L194)*N(M194)+N(N194)*N(O194)+Y194*Q194)/G194)</f>
        <v/>
      </c>
      <c r="AC194" s="24" t="str">
        <f aca="false">IF(U194&lt;&gt;"Closed","",IF($B194="Short",-1,1)*((N(M194)-H194)*N(L194)+(N(O194)-H194)*N(N194)+(Q194-H194)*Y194)-N(R194))</f>
        <v/>
      </c>
      <c r="AD194" s="25" t="str">
        <f aca="false">IF(OR(AC194="",N(Z194)=0),"",AC194/Z194)</f>
        <v/>
      </c>
      <c r="AE194" s="25" t="str">
        <f aca="false">IF(OR(S194="",N(Z194)=0),"",IF($B194="Short",-1,1)*(S194-H194)*G194/Z194)</f>
        <v/>
      </c>
      <c r="AF194" s="25" t="str">
        <f aca="false">IF(OR(T194="",N(Z194)=0),"",IF($B194="Short",-1,1)*(T194-H194)*G194/Z194)</f>
        <v/>
      </c>
      <c r="AG194" s="21" t="str">
        <f aca="false">IF(U194&lt;&gt;"Open","",Y194*MAX(0,IF($B194="Short",-1,1)*(H194-IF(K194="",I194,K194))))</f>
        <v/>
      </c>
      <c r="AH194" s="26" t="str">
        <f aca="false">IF(U194&lt;&gt;"Closed","",DATE(YEAR(P194),MONTH(P194),1))</f>
        <v/>
      </c>
      <c r="AI194" s="19" t="str">
        <f aca="false">IF(U194&lt;&gt;"Closed","",COUNTIFS($U$7:$U$506,"Closed",$P$7:$P$506,"&lt;"&amp;P194)+COUNTIFS($U$7:U194,"Closed",$P$7:P194,P194))</f>
        <v/>
      </c>
    </row>
    <row r="195" customFormat="false" ht="15" hidden="false" customHeight="false" outlineLevel="0" collapsed="false">
      <c r="A195" s="13"/>
      <c r="B195" s="48"/>
      <c r="C195" s="48"/>
      <c r="D195" s="48"/>
      <c r="E195" s="15"/>
      <c r="F195" s="15"/>
      <c r="G195" s="16"/>
      <c r="H195" s="17"/>
      <c r="I195" s="17"/>
      <c r="J195" s="17"/>
      <c r="K195" s="17"/>
      <c r="L195" s="16"/>
      <c r="M195" s="17"/>
      <c r="N195" s="16"/>
      <c r="O195" s="17"/>
      <c r="P195" s="15"/>
      <c r="Q195" s="17"/>
      <c r="R195" s="17"/>
      <c r="S195" s="17"/>
      <c r="T195" s="17"/>
      <c r="U195" s="18" t="str">
        <f aca="false">IF(A195="","",IF(N(G195)-N(L195)-N(N195)&lt;0,"Check shares",IF(AND(P195&lt;&gt;"",Q195&lt;&gt;""),"Closed","Open")))</f>
        <v/>
      </c>
      <c r="V195" s="19" t="str">
        <f aca="false">IF(OR(F195="",P195=""),"",NETWORKDAYS(F195,P195,Lists!$F$5:$F$40)-1)</f>
        <v/>
      </c>
      <c r="W195" s="18" t="str">
        <f aca="false">IF(V195="","",IF(V195=0,"Same day","Overnight"))</f>
        <v/>
      </c>
      <c r="X195" s="18" t="str">
        <f aca="false">IF(OR(E195="",F195=""),"",IF(AND(E195&gt;=F195,OR(P195="",E195&lt;=P195)),"Yes","No"))</f>
        <v/>
      </c>
      <c r="Y195" s="20" t="str">
        <f aca="false">IF(A195="","",N(G195)-N(L195)-N(N195))</f>
        <v/>
      </c>
      <c r="Z195" s="21" t="str">
        <f aca="false">IF(OR(G195="",H195="",I195=""),"",ABS(H195-I195)*G195)</f>
        <v/>
      </c>
      <c r="AA195" s="22" t="str">
        <f aca="false">IF(OR(J195="",N(Z195)=0),"",ABS(J195-H195)/ABS(H195-I195))</f>
        <v/>
      </c>
      <c r="AB195" s="23" t="str">
        <f aca="false">IF(U195&lt;&gt;"Closed","",(N(L195)*N(M195)+N(N195)*N(O195)+Y195*Q195)/G195)</f>
        <v/>
      </c>
      <c r="AC195" s="24" t="str">
        <f aca="false">IF(U195&lt;&gt;"Closed","",IF($B195="Short",-1,1)*((N(M195)-H195)*N(L195)+(N(O195)-H195)*N(N195)+(Q195-H195)*Y195)-N(R195))</f>
        <v/>
      </c>
      <c r="AD195" s="25" t="str">
        <f aca="false">IF(OR(AC195="",N(Z195)=0),"",AC195/Z195)</f>
        <v/>
      </c>
      <c r="AE195" s="25" t="str">
        <f aca="false">IF(OR(S195="",N(Z195)=0),"",IF($B195="Short",-1,1)*(S195-H195)*G195/Z195)</f>
        <v/>
      </c>
      <c r="AF195" s="25" t="str">
        <f aca="false">IF(OR(T195="",N(Z195)=0),"",IF($B195="Short",-1,1)*(T195-H195)*G195/Z195)</f>
        <v/>
      </c>
      <c r="AG195" s="21" t="str">
        <f aca="false">IF(U195&lt;&gt;"Open","",Y195*MAX(0,IF($B195="Short",-1,1)*(H195-IF(K195="",I195,K195))))</f>
        <v/>
      </c>
      <c r="AH195" s="26" t="str">
        <f aca="false">IF(U195&lt;&gt;"Closed","",DATE(YEAR(P195),MONTH(P195),1))</f>
        <v/>
      </c>
      <c r="AI195" s="19" t="str">
        <f aca="false">IF(U195&lt;&gt;"Closed","",COUNTIFS($U$7:$U$506,"Closed",$P$7:$P$506,"&lt;"&amp;P195)+COUNTIFS($U$7:U195,"Closed",$P$7:P195,P195))</f>
        <v/>
      </c>
    </row>
    <row r="196" customFormat="false" ht="15" hidden="false" customHeight="false" outlineLevel="0" collapsed="false">
      <c r="A196" s="13"/>
      <c r="B196" s="48"/>
      <c r="C196" s="48"/>
      <c r="D196" s="48"/>
      <c r="E196" s="15"/>
      <c r="F196" s="15"/>
      <c r="G196" s="16"/>
      <c r="H196" s="17"/>
      <c r="I196" s="17"/>
      <c r="J196" s="17"/>
      <c r="K196" s="17"/>
      <c r="L196" s="16"/>
      <c r="M196" s="17"/>
      <c r="N196" s="16"/>
      <c r="O196" s="17"/>
      <c r="P196" s="15"/>
      <c r="Q196" s="17"/>
      <c r="R196" s="17"/>
      <c r="S196" s="17"/>
      <c r="T196" s="17"/>
      <c r="U196" s="18" t="str">
        <f aca="false">IF(A196="","",IF(N(G196)-N(L196)-N(N196)&lt;0,"Check shares",IF(AND(P196&lt;&gt;"",Q196&lt;&gt;""),"Closed","Open")))</f>
        <v/>
      </c>
      <c r="V196" s="19" t="str">
        <f aca="false">IF(OR(F196="",P196=""),"",NETWORKDAYS(F196,P196,Lists!$F$5:$F$40)-1)</f>
        <v/>
      </c>
      <c r="W196" s="18" t="str">
        <f aca="false">IF(V196="","",IF(V196=0,"Same day","Overnight"))</f>
        <v/>
      </c>
      <c r="X196" s="18" t="str">
        <f aca="false">IF(OR(E196="",F196=""),"",IF(AND(E196&gt;=F196,OR(P196="",E196&lt;=P196)),"Yes","No"))</f>
        <v/>
      </c>
      <c r="Y196" s="20" t="str">
        <f aca="false">IF(A196="","",N(G196)-N(L196)-N(N196))</f>
        <v/>
      </c>
      <c r="Z196" s="21" t="str">
        <f aca="false">IF(OR(G196="",H196="",I196=""),"",ABS(H196-I196)*G196)</f>
        <v/>
      </c>
      <c r="AA196" s="22" t="str">
        <f aca="false">IF(OR(J196="",N(Z196)=0),"",ABS(J196-H196)/ABS(H196-I196))</f>
        <v/>
      </c>
      <c r="AB196" s="23" t="str">
        <f aca="false">IF(U196&lt;&gt;"Closed","",(N(L196)*N(M196)+N(N196)*N(O196)+Y196*Q196)/G196)</f>
        <v/>
      </c>
      <c r="AC196" s="24" t="str">
        <f aca="false">IF(U196&lt;&gt;"Closed","",IF($B196="Short",-1,1)*((N(M196)-H196)*N(L196)+(N(O196)-H196)*N(N196)+(Q196-H196)*Y196)-N(R196))</f>
        <v/>
      </c>
      <c r="AD196" s="25" t="str">
        <f aca="false">IF(OR(AC196="",N(Z196)=0),"",AC196/Z196)</f>
        <v/>
      </c>
      <c r="AE196" s="25" t="str">
        <f aca="false">IF(OR(S196="",N(Z196)=0),"",IF($B196="Short",-1,1)*(S196-H196)*G196/Z196)</f>
        <v/>
      </c>
      <c r="AF196" s="25" t="str">
        <f aca="false">IF(OR(T196="",N(Z196)=0),"",IF($B196="Short",-1,1)*(T196-H196)*G196/Z196)</f>
        <v/>
      </c>
      <c r="AG196" s="21" t="str">
        <f aca="false">IF(U196&lt;&gt;"Open","",Y196*MAX(0,IF($B196="Short",-1,1)*(H196-IF(K196="",I196,K196))))</f>
        <v/>
      </c>
      <c r="AH196" s="26" t="str">
        <f aca="false">IF(U196&lt;&gt;"Closed","",DATE(YEAR(P196),MONTH(P196),1))</f>
        <v/>
      </c>
      <c r="AI196" s="19" t="str">
        <f aca="false">IF(U196&lt;&gt;"Closed","",COUNTIFS($U$7:$U$506,"Closed",$P$7:$P$506,"&lt;"&amp;P196)+COUNTIFS($U$7:U196,"Closed",$P$7:P196,P196))</f>
        <v/>
      </c>
    </row>
    <row r="197" customFormat="false" ht="15" hidden="false" customHeight="false" outlineLevel="0" collapsed="false">
      <c r="A197" s="13"/>
      <c r="B197" s="48"/>
      <c r="C197" s="48"/>
      <c r="D197" s="48"/>
      <c r="E197" s="15"/>
      <c r="F197" s="15"/>
      <c r="G197" s="16"/>
      <c r="H197" s="17"/>
      <c r="I197" s="17"/>
      <c r="J197" s="17"/>
      <c r="K197" s="17"/>
      <c r="L197" s="16"/>
      <c r="M197" s="17"/>
      <c r="N197" s="16"/>
      <c r="O197" s="17"/>
      <c r="P197" s="15"/>
      <c r="Q197" s="17"/>
      <c r="R197" s="17"/>
      <c r="S197" s="17"/>
      <c r="T197" s="17"/>
      <c r="U197" s="18" t="str">
        <f aca="false">IF(A197="","",IF(N(G197)-N(L197)-N(N197)&lt;0,"Check shares",IF(AND(P197&lt;&gt;"",Q197&lt;&gt;""),"Closed","Open")))</f>
        <v/>
      </c>
      <c r="V197" s="19" t="str">
        <f aca="false">IF(OR(F197="",P197=""),"",NETWORKDAYS(F197,P197,Lists!$F$5:$F$40)-1)</f>
        <v/>
      </c>
      <c r="W197" s="18" t="str">
        <f aca="false">IF(V197="","",IF(V197=0,"Same day","Overnight"))</f>
        <v/>
      </c>
      <c r="X197" s="18" t="str">
        <f aca="false">IF(OR(E197="",F197=""),"",IF(AND(E197&gt;=F197,OR(P197="",E197&lt;=P197)),"Yes","No"))</f>
        <v/>
      </c>
      <c r="Y197" s="20" t="str">
        <f aca="false">IF(A197="","",N(G197)-N(L197)-N(N197))</f>
        <v/>
      </c>
      <c r="Z197" s="21" t="str">
        <f aca="false">IF(OR(G197="",H197="",I197=""),"",ABS(H197-I197)*G197)</f>
        <v/>
      </c>
      <c r="AA197" s="22" t="str">
        <f aca="false">IF(OR(J197="",N(Z197)=0),"",ABS(J197-H197)/ABS(H197-I197))</f>
        <v/>
      </c>
      <c r="AB197" s="23" t="str">
        <f aca="false">IF(U197&lt;&gt;"Closed","",(N(L197)*N(M197)+N(N197)*N(O197)+Y197*Q197)/G197)</f>
        <v/>
      </c>
      <c r="AC197" s="24" t="str">
        <f aca="false">IF(U197&lt;&gt;"Closed","",IF($B197="Short",-1,1)*((N(M197)-H197)*N(L197)+(N(O197)-H197)*N(N197)+(Q197-H197)*Y197)-N(R197))</f>
        <v/>
      </c>
      <c r="AD197" s="25" t="str">
        <f aca="false">IF(OR(AC197="",N(Z197)=0),"",AC197/Z197)</f>
        <v/>
      </c>
      <c r="AE197" s="25" t="str">
        <f aca="false">IF(OR(S197="",N(Z197)=0),"",IF($B197="Short",-1,1)*(S197-H197)*G197/Z197)</f>
        <v/>
      </c>
      <c r="AF197" s="25" t="str">
        <f aca="false">IF(OR(T197="",N(Z197)=0),"",IF($B197="Short",-1,1)*(T197-H197)*G197/Z197)</f>
        <v/>
      </c>
      <c r="AG197" s="21" t="str">
        <f aca="false">IF(U197&lt;&gt;"Open","",Y197*MAX(0,IF($B197="Short",-1,1)*(H197-IF(K197="",I197,K197))))</f>
        <v/>
      </c>
      <c r="AH197" s="26" t="str">
        <f aca="false">IF(U197&lt;&gt;"Closed","",DATE(YEAR(P197),MONTH(P197),1))</f>
        <v/>
      </c>
      <c r="AI197" s="19" t="str">
        <f aca="false">IF(U197&lt;&gt;"Closed","",COUNTIFS($U$7:$U$506,"Closed",$P$7:$P$506,"&lt;"&amp;P197)+COUNTIFS($U$7:U197,"Closed",$P$7:P197,P197))</f>
        <v/>
      </c>
    </row>
    <row r="198" customFormat="false" ht="15" hidden="false" customHeight="false" outlineLevel="0" collapsed="false">
      <c r="A198" s="13"/>
      <c r="B198" s="48"/>
      <c r="C198" s="48"/>
      <c r="D198" s="48"/>
      <c r="E198" s="15"/>
      <c r="F198" s="15"/>
      <c r="G198" s="16"/>
      <c r="H198" s="17"/>
      <c r="I198" s="17"/>
      <c r="J198" s="17"/>
      <c r="K198" s="17"/>
      <c r="L198" s="16"/>
      <c r="M198" s="17"/>
      <c r="N198" s="16"/>
      <c r="O198" s="17"/>
      <c r="P198" s="15"/>
      <c r="Q198" s="17"/>
      <c r="R198" s="17"/>
      <c r="S198" s="17"/>
      <c r="T198" s="17"/>
      <c r="U198" s="18" t="str">
        <f aca="false">IF(A198="","",IF(N(G198)-N(L198)-N(N198)&lt;0,"Check shares",IF(AND(P198&lt;&gt;"",Q198&lt;&gt;""),"Closed","Open")))</f>
        <v/>
      </c>
      <c r="V198" s="19" t="str">
        <f aca="false">IF(OR(F198="",P198=""),"",NETWORKDAYS(F198,P198,Lists!$F$5:$F$40)-1)</f>
        <v/>
      </c>
      <c r="W198" s="18" t="str">
        <f aca="false">IF(V198="","",IF(V198=0,"Same day","Overnight"))</f>
        <v/>
      </c>
      <c r="X198" s="18" t="str">
        <f aca="false">IF(OR(E198="",F198=""),"",IF(AND(E198&gt;=F198,OR(P198="",E198&lt;=P198)),"Yes","No"))</f>
        <v/>
      </c>
      <c r="Y198" s="20" t="str">
        <f aca="false">IF(A198="","",N(G198)-N(L198)-N(N198))</f>
        <v/>
      </c>
      <c r="Z198" s="21" t="str">
        <f aca="false">IF(OR(G198="",H198="",I198=""),"",ABS(H198-I198)*G198)</f>
        <v/>
      </c>
      <c r="AA198" s="22" t="str">
        <f aca="false">IF(OR(J198="",N(Z198)=0),"",ABS(J198-H198)/ABS(H198-I198))</f>
        <v/>
      </c>
      <c r="AB198" s="23" t="str">
        <f aca="false">IF(U198&lt;&gt;"Closed","",(N(L198)*N(M198)+N(N198)*N(O198)+Y198*Q198)/G198)</f>
        <v/>
      </c>
      <c r="AC198" s="24" t="str">
        <f aca="false">IF(U198&lt;&gt;"Closed","",IF($B198="Short",-1,1)*((N(M198)-H198)*N(L198)+(N(O198)-H198)*N(N198)+(Q198-H198)*Y198)-N(R198))</f>
        <v/>
      </c>
      <c r="AD198" s="25" t="str">
        <f aca="false">IF(OR(AC198="",N(Z198)=0),"",AC198/Z198)</f>
        <v/>
      </c>
      <c r="AE198" s="25" t="str">
        <f aca="false">IF(OR(S198="",N(Z198)=0),"",IF($B198="Short",-1,1)*(S198-H198)*G198/Z198)</f>
        <v/>
      </c>
      <c r="AF198" s="25" t="str">
        <f aca="false">IF(OR(T198="",N(Z198)=0),"",IF($B198="Short",-1,1)*(T198-H198)*G198/Z198)</f>
        <v/>
      </c>
      <c r="AG198" s="21" t="str">
        <f aca="false">IF(U198&lt;&gt;"Open","",Y198*MAX(0,IF($B198="Short",-1,1)*(H198-IF(K198="",I198,K198))))</f>
        <v/>
      </c>
      <c r="AH198" s="26" t="str">
        <f aca="false">IF(U198&lt;&gt;"Closed","",DATE(YEAR(P198),MONTH(P198),1))</f>
        <v/>
      </c>
      <c r="AI198" s="19" t="str">
        <f aca="false">IF(U198&lt;&gt;"Closed","",COUNTIFS($U$7:$U$506,"Closed",$P$7:$P$506,"&lt;"&amp;P198)+COUNTIFS($U$7:U198,"Closed",$P$7:P198,P198))</f>
        <v/>
      </c>
    </row>
    <row r="199" customFormat="false" ht="15" hidden="false" customHeight="false" outlineLevel="0" collapsed="false">
      <c r="A199" s="13"/>
      <c r="B199" s="48"/>
      <c r="C199" s="48"/>
      <c r="D199" s="48"/>
      <c r="E199" s="15"/>
      <c r="F199" s="15"/>
      <c r="G199" s="16"/>
      <c r="H199" s="17"/>
      <c r="I199" s="17"/>
      <c r="J199" s="17"/>
      <c r="K199" s="17"/>
      <c r="L199" s="16"/>
      <c r="M199" s="17"/>
      <c r="N199" s="16"/>
      <c r="O199" s="17"/>
      <c r="P199" s="15"/>
      <c r="Q199" s="17"/>
      <c r="R199" s="17"/>
      <c r="S199" s="17"/>
      <c r="T199" s="17"/>
      <c r="U199" s="18" t="str">
        <f aca="false">IF(A199="","",IF(N(G199)-N(L199)-N(N199)&lt;0,"Check shares",IF(AND(P199&lt;&gt;"",Q199&lt;&gt;""),"Closed","Open")))</f>
        <v/>
      </c>
      <c r="V199" s="19" t="str">
        <f aca="false">IF(OR(F199="",P199=""),"",NETWORKDAYS(F199,P199,Lists!$F$5:$F$40)-1)</f>
        <v/>
      </c>
      <c r="W199" s="18" t="str">
        <f aca="false">IF(V199="","",IF(V199=0,"Same day","Overnight"))</f>
        <v/>
      </c>
      <c r="X199" s="18" t="str">
        <f aca="false">IF(OR(E199="",F199=""),"",IF(AND(E199&gt;=F199,OR(P199="",E199&lt;=P199)),"Yes","No"))</f>
        <v/>
      </c>
      <c r="Y199" s="20" t="str">
        <f aca="false">IF(A199="","",N(G199)-N(L199)-N(N199))</f>
        <v/>
      </c>
      <c r="Z199" s="21" t="str">
        <f aca="false">IF(OR(G199="",H199="",I199=""),"",ABS(H199-I199)*G199)</f>
        <v/>
      </c>
      <c r="AA199" s="22" t="str">
        <f aca="false">IF(OR(J199="",N(Z199)=0),"",ABS(J199-H199)/ABS(H199-I199))</f>
        <v/>
      </c>
      <c r="AB199" s="23" t="str">
        <f aca="false">IF(U199&lt;&gt;"Closed","",(N(L199)*N(M199)+N(N199)*N(O199)+Y199*Q199)/G199)</f>
        <v/>
      </c>
      <c r="AC199" s="24" t="str">
        <f aca="false">IF(U199&lt;&gt;"Closed","",IF($B199="Short",-1,1)*((N(M199)-H199)*N(L199)+(N(O199)-H199)*N(N199)+(Q199-H199)*Y199)-N(R199))</f>
        <v/>
      </c>
      <c r="AD199" s="25" t="str">
        <f aca="false">IF(OR(AC199="",N(Z199)=0),"",AC199/Z199)</f>
        <v/>
      </c>
      <c r="AE199" s="25" t="str">
        <f aca="false">IF(OR(S199="",N(Z199)=0),"",IF($B199="Short",-1,1)*(S199-H199)*G199/Z199)</f>
        <v/>
      </c>
      <c r="AF199" s="25" t="str">
        <f aca="false">IF(OR(T199="",N(Z199)=0),"",IF($B199="Short",-1,1)*(T199-H199)*G199/Z199)</f>
        <v/>
      </c>
      <c r="AG199" s="21" t="str">
        <f aca="false">IF(U199&lt;&gt;"Open","",Y199*MAX(0,IF($B199="Short",-1,1)*(H199-IF(K199="",I199,K199))))</f>
        <v/>
      </c>
      <c r="AH199" s="26" t="str">
        <f aca="false">IF(U199&lt;&gt;"Closed","",DATE(YEAR(P199),MONTH(P199),1))</f>
        <v/>
      </c>
      <c r="AI199" s="19" t="str">
        <f aca="false">IF(U199&lt;&gt;"Closed","",COUNTIFS($U$7:$U$506,"Closed",$P$7:$P$506,"&lt;"&amp;P199)+COUNTIFS($U$7:U199,"Closed",$P$7:P199,P199))</f>
        <v/>
      </c>
    </row>
    <row r="200" customFormat="false" ht="15" hidden="false" customHeight="false" outlineLevel="0" collapsed="false">
      <c r="A200" s="13"/>
      <c r="B200" s="48"/>
      <c r="C200" s="48"/>
      <c r="D200" s="48"/>
      <c r="E200" s="15"/>
      <c r="F200" s="15"/>
      <c r="G200" s="16"/>
      <c r="H200" s="17"/>
      <c r="I200" s="17"/>
      <c r="J200" s="17"/>
      <c r="K200" s="17"/>
      <c r="L200" s="16"/>
      <c r="M200" s="17"/>
      <c r="N200" s="16"/>
      <c r="O200" s="17"/>
      <c r="P200" s="15"/>
      <c r="Q200" s="17"/>
      <c r="R200" s="17"/>
      <c r="S200" s="17"/>
      <c r="T200" s="17"/>
      <c r="U200" s="18" t="str">
        <f aca="false">IF(A200="","",IF(N(G200)-N(L200)-N(N200)&lt;0,"Check shares",IF(AND(P200&lt;&gt;"",Q200&lt;&gt;""),"Closed","Open")))</f>
        <v/>
      </c>
      <c r="V200" s="19" t="str">
        <f aca="false">IF(OR(F200="",P200=""),"",NETWORKDAYS(F200,P200,Lists!$F$5:$F$40)-1)</f>
        <v/>
      </c>
      <c r="W200" s="18" t="str">
        <f aca="false">IF(V200="","",IF(V200=0,"Same day","Overnight"))</f>
        <v/>
      </c>
      <c r="X200" s="18" t="str">
        <f aca="false">IF(OR(E200="",F200=""),"",IF(AND(E200&gt;=F200,OR(P200="",E200&lt;=P200)),"Yes","No"))</f>
        <v/>
      </c>
      <c r="Y200" s="20" t="str">
        <f aca="false">IF(A200="","",N(G200)-N(L200)-N(N200))</f>
        <v/>
      </c>
      <c r="Z200" s="21" t="str">
        <f aca="false">IF(OR(G200="",H200="",I200=""),"",ABS(H200-I200)*G200)</f>
        <v/>
      </c>
      <c r="AA200" s="22" t="str">
        <f aca="false">IF(OR(J200="",N(Z200)=0),"",ABS(J200-H200)/ABS(H200-I200))</f>
        <v/>
      </c>
      <c r="AB200" s="23" t="str">
        <f aca="false">IF(U200&lt;&gt;"Closed","",(N(L200)*N(M200)+N(N200)*N(O200)+Y200*Q200)/G200)</f>
        <v/>
      </c>
      <c r="AC200" s="24" t="str">
        <f aca="false">IF(U200&lt;&gt;"Closed","",IF($B200="Short",-1,1)*((N(M200)-H200)*N(L200)+(N(O200)-H200)*N(N200)+(Q200-H200)*Y200)-N(R200))</f>
        <v/>
      </c>
      <c r="AD200" s="25" t="str">
        <f aca="false">IF(OR(AC200="",N(Z200)=0),"",AC200/Z200)</f>
        <v/>
      </c>
      <c r="AE200" s="25" t="str">
        <f aca="false">IF(OR(S200="",N(Z200)=0),"",IF($B200="Short",-1,1)*(S200-H200)*G200/Z200)</f>
        <v/>
      </c>
      <c r="AF200" s="25" t="str">
        <f aca="false">IF(OR(T200="",N(Z200)=0),"",IF($B200="Short",-1,1)*(T200-H200)*G200/Z200)</f>
        <v/>
      </c>
      <c r="AG200" s="21" t="str">
        <f aca="false">IF(U200&lt;&gt;"Open","",Y200*MAX(0,IF($B200="Short",-1,1)*(H200-IF(K200="",I200,K200))))</f>
        <v/>
      </c>
      <c r="AH200" s="26" t="str">
        <f aca="false">IF(U200&lt;&gt;"Closed","",DATE(YEAR(P200),MONTH(P200),1))</f>
        <v/>
      </c>
      <c r="AI200" s="19" t="str">
        <f aca="false">IF(U200&lt;&gt;"Closed","",COUNTIFS($U$7:$U$506,"Closed",$P$7:$P$506,"&lt;"&amp;P200)+COUNTIFS($U$7:U200,"Closed",$P$7:P200,P200))</f>
        <v/>
      </c>
    </row>
    <row r="201" customFormat="false" ht="15" hidden="false" customHeight="false" outlineLevel="0" collapsed="false">
      <c r="A201" s="13"/>
      <c r="B201" s="48"/>
      <c r="C201" s="48"/>
      <c r="D201" s="48"/>
      <c r="E201" s="15"/>
      <c r="F201" s="15"/>
      <c r="G201" s="16"/>
      <c r="H201" s="17"/>
      <c r="I201" s="17"/>
      <c r="J201" s="17"/>
      <c r="K201" s="17"/>
      <c r="L201" s="16"/>
      <c r="M201" s="17"/>
      <c r="N201" s="16"/>
      <c r="O201" s="17"/>
      <c r="P201" s="15"/>
      <c r="Q201" s="17"/>
      <c r="R201" s="17"/>
      <c r="S201" s="17"/>
      <c r="T201" s="17"/>
      <c r="U201" s="18" t="str">
        <f aca="false">IF(A201="","",IF(N(G201)-N(L201)-N(N201)&lt;0,"Check shares",IF(AND(P201&lt;&gt;"",Q201&lt;&gt;""),"Closed","Open")))</f>
        <v/>
      </c>
      <c r="V201" s="19" t="str">
        <f aca="false">IF(OR(F201="",P201=""),"",NETWORKDAYS(F201,P201,Lists!$F$5:$F$40)-1)</f>
        <v/>
      </c>
      <c r="W201" s="18" t="str">
        <f aca="false">IF(V201="","",IF(V201=0,"Same day","Overnight"))</f>
        <v/>
      </c>
      <c r="X201" s="18" t="str">
        <f aca="false">IF(OR(E201="",F201=""),"",IF(AND(E201&gt;=F201,OR(P201="",E201&lt;=P201)),"Yes","No"))</f>
        <v/>
      </c>
      <c r="Y201" s="20" t="str">
        <f aca="false">IF(A201="","",N(G201)-N(L201)-N(N201))</f>
        <v/>
      </c>
      <c r="Z201" s="21" t="str">
        <f aca="false">IF(OR(G201="",H201="",I201=""),"",ABS(H201-I201)*G201)</f>
        <v/>
      </c>
      <c r="AA201" s="22" t="str">
        <f aca="false">IF(OR(J201="",N(Z201)=0),"",ABS(J201-H201)/ABS(H201-I201))</f>
        <v/>
      </c>
      <c r="AB201" s="23" t="str">
        <f aca="false">IF(U201&lt;&gt;"Closed","",(N(L201)*N(M201)+N(N201)*N(O201)+Y201*Q201)/G201)</f>
        <v/>
      </c>
      <c r="AC201" s="24" t="str">
        <f aca="false">IF(U201&lt;&gt;"Closed","",IF($B201="Short",-1,1)*((N(M201)-H201)*N(L201)+(N(O201)-H201)*N(N201)+(Q201-H201)*Y201)-N(R201))</f>
        <v/>
      </c>
      <c r="AD201" s="25" t="str">
        <f aca="false">IF(OR(AC201="",N(Z201)=0),"",AC201/Z201)</f>
        <v/>
      </c>
      <c r="AE201" s="25" t="str">
        <f aca="false">IF(OR(S201="",N(Z201)=0),"",IF($B201="Short",-1,1)*(S201-H201)*G201/Z201)</f>
        <v/>
      </c>
      <c r="AF201" s="25" t="str">
        <f aca="false">IF(OR(T201="",N(Z201)=0),"",IF($B201="Short",-1,1)*(T201-H201)*G201/Z201)</f>
        <v/>
      </c>
      <c r="AG201" s="21" t="str">
        <f aca="false">IF(U201&lt;&gt;"Open","",Y201*MAX(0,IF($B201="Short",-1,1)*(H201-IF(K201="",I201,K201))))</f>
        <v/>
      </c>
      <c r="AH201" s="26" t="str">
        <f aca="false">IF(U201&lt;&gt;"Closed","",DATE(YEAR(P201),MONTH(P201),1))</f>
        <v/>
      </c>
      <c r="AI201" s="19" t="str">
        <f aca="false">IF(U201&lt;&gt;"Closed","",COUNTIFS($U$7:$U$506,"Closed",$P$7:$P$506,"&lt;"&amp;P201)+COUNTIFS($U$7:U201,"Closed",$P$7:P201,P201))</f>
        <v/>
      </c>
    </row>
    <row r="202" customFormat="false" ht="15" hidden="false" customHeight="false" outlineLevel="0" collapsed="false">
      <c r="A202" s="13"/>
      <c r="B202" s="48"/>
      <c r="C202" s="48"/>
      <c r="D202" s="48"/>
      <c r="E202" s="15"/>
      <c r="F202" s="15"/>
      <c r="G202" s="16"/>
      <c r="H202" s="17"/>
      <c r="I202" s="17"/>
      <c r="J202" s="17"/>
      <c r="K202" s="17"/>
      <c r="L202" s="16"/>
      <c r="M202" s="17"/>
      <c r="N202" s="16"/>
      <c r="O202" s="17"/>
      <c r="P202" s="15"/>
      <c r="Q202" s="17"/>
      <c r="R202" s="17"/>
      <c r="S202" s="17"/>
      <c r="T202" s="17"/>
      <c r="U202" s="18" t="str">
        <f aca="false">IF(A202="","",IF(N(G202)-N(L202)-N(N202)&lt;0,"Check shares",IF(AND(P202&lt;&gt;"",Q202&lt;&gt;""),"Closed","Open")))</f>
        <v/>
      </c>
      <c r="V202" s="19" t="str">
        <f aca="false">IF(OR(F202="",P202=""),"",NETWORKDAYS(F202,P202,Lists!$F$5:$F$40)-1)</f>
        <v/>
      </c>
      <c r="W202" s="18" t="str">
        <f aca="false">IF(V202="","",IF(V202=0,"Same day","Overnight"))</f>
        <v/>
      </c>
      <c r="X202" s="18" t="str">
        <f aca="false">IF(OR(E202="",F202=""),"",IF(AND(E202&gt;=F202,OR(P202="",E202&lt;=P202)),"Yes","No"))</f>
        <v/>
      </c>
      <c r="Y202" s="20" t="str">
        <f aca="false">IF(A202="","",N(G202)-N(L202)-N(N202))</f>
        <v/>
      </c>
      <c r="Z202" s="21" t="str">
        <f aca="false">IF(OR(G202="",H202="",I202=""),"",ABS(H202-I202)*G202)</f>
        <v/>
      </c>
      <c r="AA202" s="22" t="str">
        <f aca="false">IF(OR(J202="",N(Z202)=0),"",ABS(J202-H202)/ABS(H202-I202))</f>
        <v/>
      </c>
      <c r="AB202" s="23" t="str">
        <f aca="false">IF(U202&lt;&gt;"Closed","",(N(L202)*N(M202)+N(N202)*N(O202)+Y202*Q202)/G202)</f>
        <v/>
      </c>
      <c r="AC202" s="24" t="str">
        <f aca="false">IF(U202&lt;&gt;"Closed","",IF($B202="Short",-1,1)*((N(M202)-H202)*N(L202)+(N(O202)-H202)*N(N202)+(Q202-H202)*Y202)-N(R202))</f>
        <v/>
      </c>
      <c r="AD202" s="25" t="str">
        <f aca="false">IF(OR(AC202="",N(Z202)=0),"",AC202/Z202)</f>
        <v/>
      </c>
      <c r="AE202" s="25" t="str">
        <f aca="false">IF(OR(S202="",N(Z202)=0),"",IF($B202="Short",-1,1)*(S202-H202)*G202/Z202)</f>
        <v/>
      </c>
      <c r="AF202" s="25" t="str">
        <f aca="false">IF(OR(T202="",N(Z202)=0),"",IF($B202="Short",-1,1)*(T202-H202)*G202/Z202)</f>
        <v/>
      </c>
      <c r="AG202" s="21" t="str">
        <f aca="false">IF(U202&lt;&gt;"Open","",Y202*MAX(0,IF($B202="Short",-1,1)*(H202-IF(K202="",I202,K202))))</f>
        <v/>
      </c>
      <c r="AH202" s="26" t="str">
        <f aca="false">IF(U202&lt;&gt;"Closed","",DATE(YEAR(P202),MONTH(P202),1))</f>
        <v/>
      </c>
      <c r="AI202" s="19" t="str">
        <f aca="false">IF(U202&lt;&gt;"Closed","",COUNTIFS($U$7:$U$506,"Closed",$P$7:$P$506,"&lt;"&amp;P202)+COUNTIFS($U$7:U202,"Closed",$P$7:P202,P202))</f>
        <v/>
      </c>
    </row>
    <row r="203" customFormat="false" ht="15" hidden="false" customHeight="false" outlineLevel="0" collapsed="false">
      <c r="A203" s="13"/>
      <c r="B203" s="48"/>
      <c r="C203" s="48"/>
      <c r="D203" s="48"/>
      <c r="E203" s="15"/>
      <c r="F203" s="15"/>
      <c r="G203" s="16"/>
      <c r="H203" s="17"/>
      <c r="I203" s="17"/>
      <c r="J203" s="17"/>
      <c r="K203" s="17"/>
      <c r="L203" s="16"/>
      <c r="M203" s="17"/>
      <c r="N203" s="16"/>
      <c r="O203" s="17"/>
      <c r="P203" s="15"/>
      <c r="Q203" s="17"/>
      <c r="R203" s="17"/>
      <c r="S203" s="17"/>
      <c r="T203" s="17"/>
      <c r="U203" s="18" t="str">
        <f aca="false">IF(A203="","",IF(N(G203)-N(L203)-N(N203)&lt;0,"Check shares",IF(AND(P203&lt;&gt;"",Q203&lt;&gt;""),"Closed","Open")))</f>
        <v/>
      </c>
      <c r="V203" s="19" t="str">
        <f aca="false">IF(OR(F203="",P203=""),"",NETWORKDAYS(F203,P203,Lists!$F$5:$F$40)-1)</f>
        <v/>
      </c>
      <c r="W203" s="18" t="str">
        <f aca="false">IF(V203="","",IF(V203=0,"Same day","Overnight"))</f>
        <v/>
      </c>
      <c r="X203" s="18" t="str">
        <f aca="false">IF(OR(E203="",F203=""),"",IF(AND(E203&gt;=F203,OR(P203="",E203&lt;=P203)),"Yes","No"))</f>
        <v/>
      </c>
      <c r="Y203" s="20" t="str">
        <f aca="false">IF(A203="","",N(G203)-N(L203)-N(N203))</f>
        <v/>
      </c>
      <c r="Z203" s="21" t="str">
        <f aca="false">IF(OR(G203="",H203="",I203=""),"",ABS(H203-I203)*G203)</f>
        <v/>
      </c>
      <c r="AA203" s="22" t="str">
        <f aca="false">IF(OR(J203="",N(Z203)=0),"",ABS(J203-H203)/ABS(H203-I203))</f>
        <v/>
      </c>
      <c r="AB203" s="23" t="str">
        <f aca="false">IF(U203&lt;&gt;"Closed","",(N(L203)*N(M203)+N(N203)*N(O203)+Y203*Q203)/G203)</f>
        <v/>
      </c>
      <c r="AC203" s="24" t="str">
        <f aca="false">IF(U203&lt;&gt;"Closed","",IF($B203="Short",-1,1)*((N(M203)-H203)*N(L203)+(N(O203)-H203)*N(N203)+(Q203-H203)*Y203)-N(R203))</f>
        <v/>
      </c>
      <c r="AD203" s="25" t="str">
        <f aca="false">IF(OR(AC203="",N(Z203)=0),"",AC203/Z203)</f>
        <v/>
      </c>
      <c r="AE203" s="25" t="str">
        <f aca="false">IF(OR(S203="",N(Z203)=0),"",IF($B203="Short",-1,1)*(S203-H203)*G203/Z203)</f>
        <v/>
      </c>
      <c r="AF203" s="25" t="str">
        <f aca="false">IF(OR(T203="",N(Z203)=0),"",IF($B203="Short",-1,1)*(T203-H203)*G203/Z203)</f>
        <v/>
      </c>
      <c r="AG203" s="21" t="str">
        <f aca="false">IF(U203&lt;&gt;"Open","",Y203*MAX(0,IF($B203="Short",-1,1)*(H203-IF(K203="",I203,K203))))</f>
        <v/>
      </c>
      <c r="AH203" s="26" t="str">
        <f aca="false">IF(U203&lt;&gt;"Closed","",DATE(YEAR(P203),MONTH(P203),1))</f>
        <v/>
      </c>
      <c r="AI203" s="19" t="str">
        <f aca="false">IF(U203&lt;&gt;"Closed","",COUNTIFS($U$7:$U$506,"Closed",$P$7:$P$506,"&lt;"&amp;P203)+COUNTIFS($U$7:U203,"Closed",$P$7:P203,P203))</f>
        <v/>
      </c>
    </row>
    <row r="204" customFormat="false" ht="15" hidden="false" customHeight="false" outlineLevel="0" collapsed="false">
      <c r="A204" s="13"/>
      <c r="B204" s="48"/>
      <c r="C204" s="48"/>
      <c r="D204" s="48"/>
      <c r="E204" s="15"/>
      <c r="F204" s="15"/>
      <c r="G204" s="16"/>
      <c r="H204" s="17"/>
      <c r="I204" s="17"/>
      <c r="J204" s="17"/>
      <c r="K204" s="17"/>
      <c r="L204" s="16"/>
      <c r="M204" s="17"/>
      <c r="N204" s="16"/>
      <c r="O204" s="17"/>
      <c r="P204" s="15"/>
      <c r="Q204" s="17"/>
      <c r="R204" s="17"/>
      <c r="S204" s="17"/>
      <c r="T204" s="17"/>
      <c r="U204" s="18" t="str">
        <f aca="false">IF(A204="","",IF(N(G204)-N(L204)-N(N204)&lt;0,"Check shares",IF(AND(P204&lt;&gt;"",Q204&lt;&gt;""),"Closed","Open")))</f>
        <v/>
      </c>
      <c r="V204" s="19" t="str">
        <f aca="false">IF(OR(F204="",P204=""),"",NETWORKDAYS(F204,P204,Lists!$F$5:$F$40)-1)</f>
        <v/>
      </c>
      <c r="W204" s="18" t="str">
        <f aca="false">IF(V204="","",IF(V204=0,"Same day","Overnight"))</f>
        <v/>
      </c>
      <c r="X204" s="18" t="str">
        <f aca="false">IF(OR(E204="",F204=""),"",IF(AND(E204&gt;=F204,OR(P204="",E204&lt;=P204)),"Yes","No"))</f>
        <v/>
      </c>
      <c r="Y204" s="20" t="str">
        <f aca="false">IF(A204="","",N(G204)-N(L204)-N(N204))</f>
        <v/>
      </c>
      <c r="Z204" s="21" t="str">
        <f aca="false">IF(OR(G204="",H204="",I204=""),"",ABS(H204-I204)*G204)</f>
        <v/>
      </c>
      <c r="AA204" s="22" t="str">
        <f aca="false">IF(OR(J204="",N(Z204)=0),"",ABS(J204-H204)/ABS(H204-I204))</f>
        <v/>
      </c>
      <c r="AB204" s="23" t="str">
        <f aca="false">IF(U204&lt;&gt;"Closed","",(N(L204)*N(M204)+N(N204)*N(O204)+Y204*Q204)/G204)</f>
        <v/>
      </c>
      <c r="AC204" s="24" t="str">
        <f aca="false">IF(U204&lt;&gt;"Closed","",IF($B204="Short",-1,1)*((N(M204)-H204)*N(L204)+(N(O204)-H204)*N(N204)+(Q204-H204)*Y204)-N(R204))</f>
        <v/>
      </c>
      <c r="AD204" s="25" t="str">
        <f aca="false">IF(OR(AC204="",N(Z204)=0),"",AC204/Z204)</f>
        <v/>
      </c>
      <c r="AE204" s="25" t="str">
        <f aca="false">IF(OR(S204="",N(Z204)=0),"",IF($B204="Short",-1,1)*(S204-H204)*G204/Z204)</f>
        <v/>
      </c>
      <c r="AF204" s="25" t="str">
        <f aca="false">IF(OR(T204="",N(Z204)=0),"",IF($B204="Short",-1,1)*(T204-H204)*G204/Z204)</f>
        <v/>
      </c>
      <c r="AG204" s="21" t="str">
        <f aca="false">IF(U204&lt;&gt;"Open","",Y204*MAX(0,IF($B204="Short",-1,1)*(H204-IF(K204="",I204,K204))))</f>
        <v/>
      </c>
      <c r="AH204" s="26" t="str">
        <f aca="false">IF(U204&lt;&gt;"Closed","",DATE(YEAR(P204),MONTH(P204),1))</f>
        <v/>
      </c>
      <c r="AI204" s="19" t="str">
        <f aca="false">IF(U204&lt;&gt;"Closed","",COUNTIFS($U$7:$U$506,"Closed",$P$7:$P$506,"&lt;"&amp;P204)+COUNTIFS($U$7:U204,"Closed",$P$7:P204,P204))</f>
        <v/>
      </c>
    </row>
    <row r="205" customFormat="false" ht="15" hidden="false" customHeight="false" outlineLevel="0" collapsed="false">
      <c r="A205" s="13"/>
      <c r="B205" s="48"/>
      <c r="C205" s="48"/>
      <c r="D205" s="48"/>
      <c r="E205" s="15"/>
      <c r="F205" s="15"/>
      <c r="G205" s="16"/>
      <c r="H205" s="17"/>
      <c r="I205" s="17"/>
      <c r="J205" s="17"/>
      <c r="K205" s="17"/>
      <c r="L205" s="16"/>
      <c r="M205" s="17"/>
      <c r="N205" s="16"/>
      <c r="O205" s="17"/>
      <c r="P205" s="15"/>
      <c r="Q205" s="17"/>
      <c r="R205" s="17"/>
      <c r="S205" s="17"/>
      <c r="T205" s="17"/>
      <c r="U205" s="18" t="str">
        <f aca="false">IF(A205="","",IF(N(G205)-N(L205)-N(N205)&lt;0,"Check shares",IF(AND(P205&lt;&gt;"",Q205&lt;&gt;""),"Closed","Open")))</f>
        <v/>
      </c>
      <c r="V205" s="19" t="str">
        <f aca="false">IF(OR(F205="",P205=""),"",NETWORKDAYS(F205,P205,Lists!$F$5:$F$40)-1)</f>
        <v/>
      </c>
      <c r="W205" s="18" t="str">
        <f aca="false">IF(V205="","",IF(V205=0,"Same day","Overnight"))</f>
        <v/>
      </c>
      <c r="X205" s="18" t="str">
        <f aca="false">IF(OR(E205="",F205=""),"",IF(AND(E205&gt;=F205,OR(P205="",E205&lt;=P205)),"Yes","No"))</f>
        <v/>
      </c>
      <c r="Y205" s="20" t="str">
        <f aca="false">IF(A205="","",N(G205)-N(L205)-N(N205))</f>
        <v/>
      </c>
      <c r="Z205" s="21" t="str">
        <f aca="false">IF(OR(G205="",H205="",I205=""),"",ABS(H205-I205)*G205)</f>
        <v/>
      </c>
      <c r="AA205" s="22" t="str">
        <f aca="false">IF(OR(J205="",N(Z205)=0),"",ABS(J205-H205)/ABS(H205-I205))</f>
        <v/>
      </c>
      <c r="AB205" s="23" t="str">
        <f aca="false">IF(U205&lt;&gt;"Closed","",(N(L205)*N(M205)+N(N205)*N(O205)+Y205*Q205)/G205)</f>
        <v/>
      </c>
      <c r="AC205" s="24" t="str">
        <f aca="false">IF(U205&lt;&gt;"Closed","",IF($B205="Short",-1,1)*((N(M205)-H205)*N(L205)+(N(O205)-H205)*N(N205)+(Q205-H205)*Y205)-N(R205))</f>
        <v/>
      </c>
      <c r="AD205" s="25" t="str">
        <f aca="false">IF(OR(AC205="",N(Z205)=0),"",AC205/Z205)</f>
        <v/>
      </c>
      <c r="AE205" s="25" t="str">
        <f aca="false">IF(OR(S205="",N(Z205)=0),"",IF($B205="Short",-1,1)*(S205-H205)*G205/Z205)</f>
        <v/>
      </c>
      <c r="AF205" s="25" t="str">
        <f aca="false">IF(OR(T205="",N(Z205)=0),"",IF($B205="Short",-1,1)*(T205-H205)*G205/Z205)</f>
        <v/>
      </c>
      <c r="AG205" s="21" t="str">
        <f aca="false">IF(U205&lt;&gt;"Open","",Y205*MAX(0,IF($B205="Short",-1,1)*(H205-IF(K205="",I205,K205))))</f>
        <v/>
      </c>
      <c r="AH205" s="26" t="str">
        <f aca="false">IF(U205&lt;&gt;"Closed","",DATE(YEAR(P205),MONTH(P205),1))</f>
        <v/>
      </c>
      <c r="AI205" s="19" t="str">
        <f aca="false">IF(U205&lt;&gt;"Closed","",COUNTIFS($U$7:$U$506,"Closed",$P$7:$P$506,"&lt;"&amp;P205)+COUNTIFS($U$7:U205,"Closed",$P$7:P205,P205))</f>
        <v/>
      </c>
    </row>
    <row r="206" customFormat="false" ht="15" hidden="false" customHeight="false" outlineLevel="0" collapsed="false">
      <c r="A206" s="13"/>
      <c r="B206" s="48"/>
      <c r="C206" s="48"/>
      <c r="D206" s="48"/>
      <c r="E206" s="15"/>
      <c r="F206" s="15"/>
      <c r="G206" s="16"/>
      <c r="H206" s="17"/>
      <c r="I206" s="17"/>
      <c r="J206" s="17"/>
      <c r="K206" s="17"/>
      <c r="L206" s="16"/>
      <c r="M206" s="17"/>
      <c r="N206" s="16"/>
      <c r="O206" s="17"/>
      <c r="P206" s="15"/>
      <c r="Q206" s="17"/>
      <c r="R206" s="17"/>
      <c r="S206" s="17"/>
      <c r="T206" s="17"/>
      <c r="U206" s="18" t="str">
        <f aca="false">IF(A206="","",IF(N(G206)-N(L206)-N(N206)&lt;0,"Check shares",IF(AND(P206&lt;&gt;"",Q206&lt;&gt;""),"Closed","Open")))</f>
        <v/>
      </c>
      <c r="V206" s="19" t="str">
        <f aca="false">IF(OR(F206="",P206=""),"",NETWORKDAYS(F206,P206,Lists!$F$5:$F$40)-1)</f>
        <v/>
      </c>
      <c r="W206" s="18" t="str">
        <f aca="false">IF(V206="","",IF(V206=0,"Same day","Overnight"))</f>
        <v/>
      </c>
      <c r="X206" s="18" t="str">
        <f aca="false">IF(OR(E206="",F206=""),"",IF(AND(E206&gt;=F206,OR(P206="",E206&lt;=P206)),"Yes","No"))</f>
        <v/>
      </c>
      <c r="Y206" s="20" t="str">
        <f aca="false">IF(A206="","",N(G206)-N(L206)-N(N206))</f>
        <v/>
      </c>
      <c r="Z206" s="21" t="str">
        <f aca="false">IF(OR(G206="",H206="",I206=""),"",ABS(H206-I206)*G206)</f>
        <v/>
      </c>
      <c r="AA206" s="22" t="str">
        <f aca="false">IF(OR(J206="",N(Z206)=0),"",ABS(J206-H206)/ABS(H206-I206))</f>
        <v/>
      </c>
      <c r="AB206" s="23" t="str">
        <f aca="false">IF(U206&lt;&gt;"Closed","",(N(L206)*N(M206)+N(N206)*N(O206)+Y206*Q206)/G206)</f>
        <v/>
      </c>
      <c r="AC206" s="24" t="str">
        <f aca="false">IF(U206&lt;&gt;"Closed","",IF($B206="Short",-1,1)*((N(M206)-H206)*N(L206)+(N(O206)-H206)*N(N206)+(Q206-H206)*Y206)-N(R206))</f>
        <v/>
      </c>
      <c r="AD206" s="25" t="str">
        <f aca="false">IF(OR(AC206="",N(Z206)=0),"",AC206/Z206)</f>
        <v/>
      </c>
      <c r="AE206" s="25" t="str">
        <f aca="false">IF(OR(S206="",N(Z206)=0),"",IF($B206="Short",-1,1)*(S206-H206)*G206/Z206)</f>
        <v/>
      </c>
      <c r="AF206" s="25" t="str">
        <f aca="false">IF(OR(T206="",N(Z206)=0),"",IF($B206="Short",-1,1)*(T206-H206)*G206/Z206)</f>
        <v/>
      </c>
      <c r="AG206" s="21" t="str">
        <f aca="false">IF(U206&lt;&gt;"Open","",Y206*MAX(0,IF($B206="Short",-1,1)*(H206-IF(K206="",I206,K206))))</f>
        <v/>
      </c>
      <c r="AH206" s="26" t="str">
        <f aca="false">IF(U206&lt;&gt;"Closed","",DATE(YEAR(P206),MONTH(P206),1))</f>
        <v/>
      </c>
      <c r="AI206" s="19" t="str">
        <f aca="false">IF(U206&lt;&gt;"Closed","",COUNTIFS($U$7:$U$506,"Closed",$P$7:$P$506,"&lt;"&amp;P206)+COUNTIFS($U$7:U206,"Closed",$P$7:P206,P206))</f>
        <v/>
      </c>
    </row>
    <row r="207" customFormat="false" ht="15" hidden="false" customHeight="false" outlineLevel="0" collapsed="false">
      <c r="A207" s="13"/>
      <c r="B207" s="48"/>
      <c r="C207" s="48"/>
      <c r="D207" s="48"/>
      <c r="E207" s="15"/>
      <c r="F207" s="15"/>
      <c r="G207" s="16"/>
      <c r="H207" s="17"/>
      <c r="I207" s="17"/>
      <c r="J207" s="17"/>
      <c r="K207" s="17"/>
      <c r="L207" s="16"/>
      <c r="M207" s="17"/>
      <c r="N207" s="16"/>
      <c r="O207" s="17"/>
      <c r="P207" s="15"/>
      <c r="Q207" s="17"/>
      <c r="R207" s="17"/>
      <c r="S207" s="17"/>
      <c r="T207" s="17"/>
      <c r="U207" s="18" t="str">
        <f aca="false">IF(A207="","",IF(N(G207)-N(L207)-N(N207)&lt;0,"Check shares",IF(AND(P207&lt;&gt;"",Q207&lt;&gt;""),"Closed","Open")))</f>
        <v/>
      </c>
      <c r="V207" s="19" t="str">
        <f aca="false">IF(OR(F207="",P207=""),"",NETWORKDAYS(F207,P207,Lists!$F$5:$F$40)-1)</f>
        <v/>
      </c>
      <c r="W207" s="18" t="str">
        <f aca="false">IF(V207="","",IF(V207=0,"Same day","Overnight"))</f>
        <v/>
      </c>
      <c r="X207" s="18" t="str">
        <f aca="false">IF(OR(E207="",F207=""),"",IF(AND(E207&gt;=F207,OR(P207="",E207&lt;=P207)),"Yes","No"))</f>
        <v/>
      </c>
      <c r="Y207" s="20" t="str">
        <f aca="false">IF(A207="","",N(G207)-N(L207)-N(N207))</f>
        <v/>
      </c>
      <c r="Z207" s="21" t="str">
        <f aca="false">IF(OR(G207="",H207="",I207=""),"",ABS(H207-I207)*G207)</f>
        <v/>
      </c>
      <c r="AA207" s="22" t="str">
        <f aca="false">IF(OR(J207="",N(Z207)=0),"",ABS(J207-H207)/ABS(H207-I207))</f>
        <v/>
      </c>
      <c r="AB207" s="23" t="str">
        <f aca="false">IF(U207&lt;&gt;"Closed","",(N(L207)*N(M207)+N(N207)*N(O207)+Y207*Q207)/G207)</f>
        <v/>
      </c>
      <c r="AC207" s="24" t="str">
        <f aca="false">IF(U207&lt;&gt;"Closed","",IF($B207="Short",-1,1)*((N(M207)-H207)*N(L207)+(N(O207)-H207)*N(N207)+(Q207-H207)*Y207)-N(R207))</f>
        <v/>
      </c>
      <c r="AD207" s="25" t="str">
        <f aca="false">IF(OR(AC207="",N(Z207)=0),"",AC207/Z207)</f>
        <v/>
      </c>
      <c r="AE207" s="25" t="str">
        <f aca="false">IF(OR(S207="",N(Z207)=0),"",IF($B207="Short",-1,1)*(S207-H207)*G207/Z207)</f>
        <v/>
      </c>
      <c r="AF207" s="25" t="str">
        <f aca="false">IF(OR(T207="",N(Z207)=0),"",IF($B207="Short",-1,1)*(T207-H207)*G207/Z207)</f>
        <v/>
      </c>
      <c r="AG207" s="21" t="str">
        <f aca="false">IF(U207&lt;&gt;"Open","",Y207*MAX(0,IF($B207="Short",-1,1)*(H207-IF(K207="",I207,K207))))</f>
        <v/>
      </c>
      <c r="AH207" s="26" t="str">
        <f aca="false">IF(U207&lt;&gt;"Closed","",DATE(YEAR(P207),MONTH(P207),1))</f>
        <v/>
      </c>
      <c r="AI207" s="19" t="str">
        <f aca="false">IF(U207&lt;&gt;"Closed","",COUNTIFS($U$7:$U$506,"Closed",$P$7:$P$506,"&lt;"&amp;P207)+COUNTIFS($U$7:U207,"Closed",$P$7:P207,P207))</f>
        <v/>
      </c>
    </row>
    <row r="208" customFormat="false" ht="15" hidden="false" customHeight="false" outlineLevel="0" collapsed="false">
      <c r="A208" s="13"/>
      <c r="B208" s="48"/>
      <c r="C208" s="48"/>
      <c r="D208" s="48"/>
      <c r="E208" s="15"/>
      <c r="F208" s="15"/>
      <c r="G208" s="16"/>
      <c r="H208" s="17"/>
      <c r="I208" s="17"/>
      <c r="J208" s="17"/>
      <c r="K208" s="17"/>
      <c r="L208" s="16"/>
      <c r="M208" s="17"/>
      <c r="N208" s="16"/>
      <c r="O208" s="17"/>
      <c r="P208" s="15"/>
      <c r="Q208" s="17"/>
      <c r="R208" s="17"/>
      <c r="S208" s="17"/>
      <c r="T208" s="17"/>
      <c r="U208" s="18" t="str">
        <f aca="false">IF(A208="","",IF(N(G208)-N(L208)-N(N208)&lt;0,"Check shares",IF(AND(P208&lt;&gt;"",Q208&lt;&gt;""),"Closed","Open")))</f>
        <v/>
      </c>
      <c r="V208" s="19" t="str">
        <f aca="false">IF(OR(F208="",P208=""),"",NETWORKDAYS(F208,P208,Lists!$F$5:$F$40)-1)</f>
        <v/>
      </c>
      <c r="W208" s="18" t="str">
        <f aca="false">IF(V208="","",IF(V208=0,"Same day","Overnight"))</f>
        <v/>
      </c>
      <c r="X208" s="18" t="str">
        <f aca="false">IF(OR(E208="",F208=""),"",IF(AND(E208&gt;=F208,OR(P208="",E208&lt;=P208)),"Yes","No"))</f>
        <v/>
      </c>
      <c r="Y208" s="20" t="str">
        <f aca="false">IF(A208="","",N(G208)-N(L208)-N(N208))</f>
        <v/>
      </c>
      <c r="Z208" s="21" t="str">
        <f aca="false">IF(OR(G208="",H208="",I208=""),"",ABS(H208-I208)*G208)</f>
        <v/>
      </c>
      <c r="AA208" s="22" t="str">
        <f aca="false">IF(OR(J208="",N(Z208)=0),"",ABS(J208-H208)/ABS(H208-I208))</f>
        <v/>
      </c>
      <c r="AB208" s="23" t="str">
        <f aca="false">IF(U208&lt;&gt;"Closed","",(N(L208)*N(M208)+N(N208)*N(O208)+Y208*Q208)/G208)</f>
        <v/>
      </c>
      <c r="AC208" s="24" t="str">
        <f aca="false">IF(U208&lt;&gt;"Closed","",IF($B208="Short",-1,1)*((N(M208)-H208)*N(L208)+(N(O208)-H208)*N(N208)+(Q208-H208)*Y208)-N(R208))</f>
        <v/>
      </c>
      <c r="AD208" s="25" t="str">
        <f aca="false">IF(OR(AC208="",N(Z208)=0),"",AC208/Z208)</f>
        <v/>
      </c>
      <c r="AE208" s="25" t="str">
        <f aca="false">IF(OR(S208="",N(Z208)=0),"",IF($B208="Short",-1,1)*(S208-H208)*G208/Z208)</f>
        <v/>
      </c>
      <c r="AF208" s="25" t="str">
        <f aca="false">IF(OR(T208="",N(Z208)=0),"",IF($B208="Short",-1,1)*(T208-H208)*G208/Z208)</f>
        <v/>
      </c>
      <c r="AG208" s="21" t="str">
        <f aca="false">IF(U208&lt;&gt;"Open","",Y208*MAX(0,IF($B208="Short",-1,1)*(H208-IF(K208="",I208,K208))))</f>
        <v/>
      </c>
      <c r="AH208" s="26" t="str">
        <f aca="false">IF(U208&lt;&gt;"Closed","",DATE(YEAR(P208),MONTH(P208),1))</f>
        <v/>
      </c>
      <c r="AI208" s="19" t="str">
        <f aca="false">IF(U208&lt;&gt;"Closed","",COUNTIFS($U$7:$U$506,"Closed",$P$7:$P$506,"&lt;"&amp;P208)+COUNTIFS($U$7:U208,"Closed",$P$7:P208,P208))</f>
        <v/>
      </c>
    </row>
    <row r="209" customFormat="false" ht="15" hidden="false" customHeight="false" outlineLevel="0" collapsed="false">
      <c r="A209" s="13"/>
      <c r="B209" s="48"/>
      <c r="C209" s="48"/>
      <c r="D209" s="48"/>
      <c r="E209" s="15"/>
      <c r="F209" s="15"/>
      <c r="G209" s="16"/>
      <c r="H209" s="17"/>
      <c r="I209" s="17"/>
      <c r="J209" s="17"/>
      <c r="K209" s="17"/>
      <c r="L209" s="16"/>
      <c r="M209" s="17"/>
      <c r="N209" s="16"/>
      <c r="O209" s="17"/>
      <c r="P209" s="15"/>
      <c r="Q209" s="17"/>
      <c r="R209" s="17"/>
      <c r="S209" s="17"/>
      <c r="T209" s="17"/>
      <c r="U209" s="18" t="str">
        <f aca="false">IF(A209="","",IF(N(G209)-N(L209)-N(N209)&lt;0,"Check shares",IF(AND(P209&lt;&gt;"",Q209&lt;&gt;""),"Closed","Open")))</f>
        <v/>
      </c>
      <c r="V209" s="19" t="str">
        <f aca="false">IF(OR(F209="",P209=""),"",NETWORKDAYS(F209,P209,Lists!$F$5:$F$40)-1)</f>
        <v/>
      </c>
      <c r="W209" s="18" t="str">
        <f aca="false">IF(V209="","",IF(V209=0,"Same day","Overnight"))</f>
        <v/>
      </c>
      <c r="X209" s="18" t="str">
        <f aca="false">IF(OR(E209="",F209=""),"",IF(AND(E209&gt;=F209,OR(P209="",E209&lt;=P209)),"Yes","No"))</f>
        <v/>
      </c>
      <c r="Y209" s="20" t="str">
        <f aca="false">IF(A209="","",N(G209)-N(L209)-N(N209))</f>
        <v/>
      </c>
      <c r="Z209" s="21" t="str">
        <f aca="false">IF(OR(G209="",H209="",I209=""),"",ABS(H209-I209)*G209)</f>
        <v/>
      </c>
      <c r="AA209" s="22" t="str">
        <f aca="false">IF(OR(J209="",N(Z209)=0),"",ABS(J209-H209)/ABS(H209-I209))</f>
        <v/>
      </c>
      <c r="AB209" s="23" t="str">
        <f aca="false">IF(U209&lt;&gt;"Closed","",(N(L209)*N(M209)+N(N209)*N(O209)+Y209*Q209)/G209)</f>
        <v/>
      </c>
      <c r="AC209" s="24" t="str">
        <f aca="false">IF(U209&lt;&gt;"Closed","",IF($B209="Short",-1,1)*((N(M209)-H209)*N(L209)+(N(O209)-H209)*N(N209)+(Q209-H209)*Y209)-N(R209))</f>
        <v/>
      </c>
      <c r="AD209" s="25" t="str">
        <f aca="false">IF(OR(AC209="",N(Z209)=0),"",AC209/Z209)</f>
        <v/>
      </c>
      <c r="AE209" s="25" t="str">
        <f aca="false">IF(OR(S209="",N(Z209)=0),"",IF($B209="Short",-1,1)*(S209-H209)*G209/Z209)</f>
        <v/>
      </c>
      <c r="AF209" s="25" t="str">
        <f aca="false">IF(OR(T209="",N(Z209)=0),"",IF($B209="Short",-1,1)*(T209-H209)*G209/Z209)</f>
        <v/>
      </c>
      <c r="AG209" s="21" t="str">
        <f aca="false">IF(U209&lt;&gt;"Open","",Y209*MAX(0,IF($B209="Short",-1,1)*(H209-IF(K209="",I209,K209))))</f>
        <v/>
      </c>
      <c r="AH209" s="26" t="str">
        <f aca="false">IF(U209&lt;&gt;"Closed","",DATE(YEAR(P209),MONTH(P209),1))</f>
        <v/>
      </c>
      <c r="AI209" s="19" t="str">
        <f aca="false">IF(U209&lt;&gt;"Closed","",COUNTIFS($U$7:$U$506,"Closed",$P$7:$P$506,"&lt;"&amp;P209)+COUNTIFS($U$7:U209,"Closed",$P$7:P209,P209))</f>
        <v/>
      </c>
    </row>
    <row r="210" customFormat="false" ht="15" hidden="false" customHeight="false" outlineLevel="0" collapsed="false">
      <c r="A210" s="13"/>
      <c r="B210" s="48"/>
      <c r="C210" s="48"/>
      <c r="D210" s="48"/>
      <c r="E210" s="15"/>
      <c r="F210" s="15"/>
      <c r="G210" s="16"/>
      <c r="H210" s="17"/>
      <c r="I210" s="17"/>
      <c r="J210" s="17"/>
      <c r="K210" s="17"/>
      <c r="L210" s="16"/>
      <c r="M210" s="17"/>
      <c r="N210" s="16"/>
      <c r="O210" s="17"/>
      <c r="P210" s="15"/>
      <c r="Q210" s="17"/>
      <c r="R210" s="17"/>
      <c r="S210" s="17"/>
      <c r="T210" s="17"/>
      <c r="U210" s="18" t="str">
        <f aca="false">IF(A210="","",IF(N(G210)-N(L210)-N(N210)&lt;0,"Check shares",IF(AND(P210&lt;&gt;"",Q210&lt;&gt;""),"Closed","Open")))</f>
        <v/>
      </c>
      <c r="V210" s="19" t="str">
        <f aca="false">IF(OR(F210="",P210=""),"",NETWORKDAYS(F210,P210,Lists!$F$5:$F$40)-1)</f>
        <v/>
      </c>
      <c r="W210" s="18" t="str">
        <f aca="false">IF(V210="","",IF(V210=0,"Same day","Overnight"))</f>
        <v/>
      </c>
      <c r="X210" s="18" t="str">
        <f aca="false">IF(OR(E210="",F210=""),"",IF(AND(E210&gt;=F210,OR(P210="",E210&lt;=P210)),"Yes","No"))</f>
        <v/>
      </c>
      <c r="Y210" s="20" t="str">
        <f aca="false">IF(A210="","",N(G210)-N(L210)-N(N210))</f>
        <v/>
      </c>
      <c r="Z210" s="21" t="str">
        <f aca="false">IF(OR(G210="",H210="",I210=""),"",ABS(H210-I210)*G210)</f>
        <v/>
      </c>
      <c r="AA210" s="22" t="str">
        <f aca="false">IF(OR(J210="",N(Z210)=0),"",ABS(J210-H210)/ABS(H210-I210))</f>
        <v/>
      </c>
      <c r="AB210" s="23" t="str">
        <f aca="false">IF(U210&lt;&gt;"Closed","",(N(L210)*N(M210)+N(N210)*N(O210)+Y210*Q210)/G210)</f>
        <v/>
      </c>
      <c r="AC210" s="24" t="str">
        <f aca="false">IF(U210&lt;&gt;"Closed","",IF($B210="Short",-1,1)*((N(M210)-H210)*N(L210)+(N(O210)-H210)*N(N210)+(Q210-H210)*Y210)-N(R210))</f>
        <v/>
      </c>
      <c r="AD210" s="25" t="str">
        <f aca="false">IF(OR(AC210="",N(Z210)=0),"",AC210/Z210)</f>
        <v/>
      </c>
      <c r="AE210" s="25" t="str">
        <f aca="false">IF(OR(S210="",N(Z210)=0),"",IF($B210="Short",-1,1)*(S210-H210)*G210/Z210)</f>
        <v/>
      </c>
      <c r="AF210" s="25" t="str">
        <f aca="false">IF(OR(T210="",N(Z210)=0),"",IF($B210="Short",-1,1)*(T210-H210)*G210/Z210)</f>
        <v/>
      </c>
      <c r="AG210" s="21" t="str">
        <f aca="false">IF(U210&lt;&gt;"Open","",Y210*MAX(0,IF($B210="Short",-1,1)*(H210-IF(K210="",I210,K210))))</f>
        <v/>
      </c>
      <c r="AH210" s="26" t="str">
        <f aca="false">IF(U210&lt;&gt;"Closed","",DATE(YEAR(P210),MONTH(P210),1))</f>
        <v/>
      </c>
      <c r="AI210" s="19" t="str">
        <f aca="false">IF(U210&lt;&gt;"Closed","",COUNTIFS($U$7:$U$506,"Closed",$P$7:$P$506,"&lt;"&amp;P210)+COUNTIFS($U$7:U210,"Closed",$P$7:P210,P210))</f>
        <v/>
      </c>
    </row>
    <row r="211" customFormat="false" ht="15" hidden="false" customHeight="false" outlineLevel="0" collapsed="false">
      <c r="A211" s="13"/>
      <c r="B211" s="48"/>
      <c r="C211" s="48"/>
      <c r="D211" s="48"/>
      <c r="E211" s="15"/>
      <c r="F211" s="15"/>
      <c r="G211" s="16"/>
      <c r="H211" s="17"/>
      <c r="I211" s="17"/>
      <c r="J211" s="17"/>
      <c r="K211" s="17"/>
      <c r="L211" s="16"/>
      <c r="M211" s="17"/>
      <c r="N211" s="16"/>
      <c r="O211" s="17"/>
      <c r="P211" s="15"/>
      <c r="Q211" s="17"/>
      <c r="R211" s="17"/>
      <c r="S211" s="17"/>
      <c r="T211" s="17"/>
      <c r="U211" s="18" t="str">
        <f aca="false">IF(A211="","",IF(N(G211)-N(L211)-N(N211)&lt;0,"Check shares",IF(AND(P211&lt;&gt;"",Q211&lt;&gt;""),"Closed","Open")))</f>
        <v/>
      </c>
      <c r="V211" s="19" t="str">
        <f aca="false">IF(OR(F211="",P211=""),"",NETWORKDAYS(F211,P211,Lists!$F$5:$F$40)-1)</f>
        <v/>
      </c>
      <c r="W211" s="18" t="str">
        <f aca="false">IF(V211="","",IF(V211=0,"Same day","Overnight"))</f>
        <v/>
      </c>
      <c r="X211" s="18" t="str">
        <f aca="false">IF(OR(E211="",F211=""),"",IF(AND(E211&gt;=F211,OR(P211="",E211&lt;=P211)),"Yes","No"))</f>
        <v/>
      </c>
      <c r="Y211" s="20" t="str">
        <f aca="false">IF(A211="","",N(G211)-N(L211)-N(N211))</f>
        <v/>
      </c>
      <c r="Z211" s="21" t="str">
        <f aca="false">IF(OR(G211="",H211="",I211=""),"",ABS(H211-I211)*G211)</f>
        <v/>
      </c>
      <c r="AA211" s="22" t="str">
        <f aca="false">IF(OR(J211="",N(Z211)=0),"",ABS(J211-H211)/ABS(H211-I211))</f>
        <v/>
      </c>
      <c r="AB211" s="23" t="str">
        <f aca="false">IF(U211&lt;&gt;"Closed","",(N(L211)*N(M211)+N(N211)*N(O211)+Y211*Q211)/G211)</f>
        <v/>
      </c>
      <c r="AC211" s="24" t="str">
        <f aca="false">IF(U211&lt;&gt;"Closed","",IF($B211="Short",-1,1)*((N(M211)-H211)*N(L211)+(N(O211)-H211)*N(N211)+(Q211-H211)*Y211)-N(R211))</f>
        <v/>
      </c>
      <c r="AD211" s="25" t="str">
        <f aca="false">IF(OR(AC211="",N(Z211)=0),"",AC211/Z211)</f>
        <v/>
      </c>
      <c r="AE211" s="25" t="str">
        <f aca="false">IF(OR(S211="",N(Z211)=0),"",IF($B211="Short",-1,1)*(S211-H211)*G211/Z211)</f>
        <v/>
      </c>
      <c r="AF211" s="25" t="str">
        <f aca="false">IF(OR(T211="",N(Z211)=0),"",IF($B211="Short",-1,1)*(T211-H211)*G211/Z211)</f>
        <v/>
      </c>
      <c r="AG211" s="21" t="str">
        <f aca="false">IF(U211&lt;&gt;"Open","",Y211*MAX(0,IF($B211="Short",-1,1)*(H211-IF(K211="",I211,K211))))</f>
        <v/>
      </c>
      <c r="AH211" s="26" t="str">
        <f aca="false">IF(U211&lt;&gt;"Closed","",DATE(YEAR(P211),MONTH(P211),1))</f>
        <v/>
      </c>
      <c r="AI211" s="19" t="str">
        <f aca="false">IF(U211&lt;&gt;"Closed","",COUNTIFS($U$7:$U$506,"Closed",$P$7:$P$506,"&lt;"&amp;P211)+COUNTIFS($U$7:U211,"Closed",$P$7:P211,P211))</f>
        <v/>
      </c>
    </row>
    <row r="212" customFormat="false" ht="15" hidden="false" customHeight="false" outlineLevel="0" collapsed="false">
      <c r="A212" s="13"/>
      <c r="B212" s="48"/>
      <c r="C212" s="48"/>
      <c r="D212" s="48"/>
      <c r="E212" s="15"/>
      <c r="F212" s="15"/>
      <c r="G212" s="16"/>
      <c r="H212" s="17"/>
      <c r="I212" s="17"/>
      <c r="J212" s="17"/>
      <c r="K212" s="17"/>
      <c r="L212" s="16"/>
      <c r="M212" s="17"/>
      <c r="N212" s="16"/>
      <c r="O212" s="17"/>
      <c r="P212" s="15"/>
      <c r="Q212" s="17"/>
      <c r="R212" s="17"/>
      <c r="S212" s="17"/>
      <c r="T212" s="17"/>
      <c r="U212" s="18" t="str">
        <f aca="false">IF(A212="","",IF(N(G212)-N(L212)-N(N212)&lt;0,"Check shares",IF(AND(P212&lt;&gt;"",Q212&lt;&gt;""),"Closed","Open")))</f>
        <v/>
      </c>
      <c r="V212" s="19" t="str">
        <f aca="false">IF(OR(F212="",P212=""),"",NETWORKDAYS(F212,P212,Lists!$F$5:$F$40)-1)</f>
        <v/>
      </c>
      <c r="W212" s="18" t="str">
        <f aca="false">IF(V212="","",IF(V212=0,"Same day","Overnight"))</f>
        <v/>
      </c>
      <c r="X212" s="18" t="str">
        <f aca="false">IF(OR(E212="",F212=""),"",IF(AND(E212&gt;=F212,OR(P212="",E212&lt;=P212)),"Yes","No"))</f>
        <v/>
      </c>
      <c r="Y212" s="20" t="str">
        <f aca="false">IF(A212="","",N(G212)-N(L212)-N(N212))</f>
        <v/>
      </c>
      <c r="Z212" s="21" t="str">
        <f aca="false">IF(OR(G212="",H212="",I212=""),"",ABS(H212-I212)*G212)</f>
        <v/>
      </c>
      <c r="AA212" s="22" t="str">
        <f aca="false">IF(OR(J212="",N(Z212)=0),"",ABS(J212-H212)/ABS(H212-I212))</f>
        <v/>
      </c>
      <c r="AB212" s="23" t="str">
        <f aca="false">IF(U212&lt;&gt;"Closed","",(N(L212)*N(M212)+N(N212)*N(O212)+Y212*Q212)/G212)</f>
        <v/>
      </c>
      <c r="AC212" s="24" t="str">
        <f aca="false">IF(U212&lt;&gt;"Closed","",IF($B212="Short",-1,1)*((N(M212)-H212)*N(L212)+(N(O212)-H212)*N(N212)+(Q212-H212)*Y212)-N(R212))</f>
        <v/>
      </c>
      <c r="AD212" s="25" t="str">
        <f aca="false">IF(OR(AC212="",N(Z212)=0),"",AC212/Z212)</f>
        <v/>
      </c>
      <c r="AE212" s="25" t="str">
        <f aca="false">IF(OR(S212="",N(Z212)=0),"",IF($B212="Short",-1,1)*(S212-H212)*G212/Z212)</f>
        <v/>
      </c>
      <c r="AF212" s="25" t="str">
        <f aca="false">IF(OR(T212="",N(Z212)=0),"",IF($B212="Short",-1,1)*(T212-H212)*G212/Z212)</f>
        <v/>
      </c>
      <c r="AG212" s="21" t="str">
        <f aca="false">IF(U212&lt;&gt;"Open","",Y212*MAX(0,IF($B212="Short",-1,1)*(H212-IF(K212="",I212,K212))))</f>
        <v/>
      </c>
      <c r="AH212" s="26" t="str">
        <f aca="false">IF(U212&lt;&gt;"Closed","",DATE(YEAR(P212),MONTH(P212),1))</f>
        <v/>
      </c>
      <c r="AI212" s="19" t="str">
        <f aca="false">IF(U212&lt;&gt;"Closed","",COUNTIFS($U$7:$U$506,"Closed",$P$7:$P$506,"&lt;"&amp;P212)+COUNTIFS($U$7:U212,"Closed",$P$7:P212,P212))</f>
        <v/>
      </c>
    </row>
    <row r="213" customFormat="false" ht="15" hidden="false" customHeight="false" outlineLevel="0" collapsed="false">
      <c r="A213" s="13"/>
      <c r="B213" s="48"/>
      <c r="C213" s="48"/>
      <c r="D213" s="48"/>
      <c r="E213" s="15"/>
      <c r="F213" s="15"/>
      <c r="G213" s="16"/>
      <c r="H213" s="17"/>
      <c r="I213" s="17"/>
      <c r="J213" s="17"/>
      <c r="K213" s="17"/>
      <c r="L213" s="16"/>
      <c r="M213" s="17"/>
      <c r="N213" s="16"/>
      <c r="O213" s="17"/>
      <c r="P213" s="15"/>
      <c r="Q213" s="17"/>
      <c r="R213" s="17"/>
      <c r="S213" s="17"/>
      <c r="T213" s="17"/>
      <c r="U213" s="18" t="str">
        <f aca="false">IF(A213="","",IF(N(G213)-N(L213)-N(N213)&lt;0,"Check shares",IF(AND(P213&lt;&gt;"",Q213&lt;&gt;""),"Closed","Open")))</f>
        <v/>
      </c>
      <c r="V213" s="19" t="str">
        <f aca="false">IF(OR(F213="",P213=""),"",NETWORKDAYS(F213,P213,Lists!$F$5:$F$40)-1)</f>
        <v/>
      </c>
      <c r="W213" s="18" t="str">
        <f aca="false">IF(V213="","",IF(V213=0,"Same day","Overnight"))</f>
        <v/>
      </c>
      <c r="X213" s="18" t="str">
        <f aca="false">IF(OR(E213="",F213=""),"",IF(AND(E213&gt;=F213,OR(P213="",E213&lt;=P213)),"Yes","No"))</f>
        <v/>
      </c>
      <c r="Y213" s="20" t="str">
        <f aca="false">IF(A213="","",N(G213)-N(L213)-N(N213))</f>
        <v/>
      </c>
      <c r="Z213" s="21" t="str">
        <f aca="false">IF(OR(G213="",H213="",I213=""),"",ABS(H213-I213)*G213)</f>
        <v/>
      </c>
      <c r="AA213" s="22" t="str">
        <f aca="false">IF(OR(J213="",N(Z213)=0),"",ABS(J213-H213)/ABS(H213-I213))</f>
        <v/>
      </c>
      <c r="AB213" s="23" t="str">
        <f aca="false">IF(U213&lt;&gt;"Closed","",(N(L213)*N(M213)+N(N213)*N(O213)+Y213*Q213)/G213)</f>
        <v/>
      </c>
      <c r="AC213" s="24" t="str">
        <f aca="false">IF(U213&lt;&gt;"Closed","",IF($B213="Short",-1,1)*((N(M213)-H213)*N(L213)+(N(O213)-H213)*N(N213)+(Q213-H213)*Y213)-N(R213))</f>
        <v/>
      </c>
      <c r="AD213" s="25" t="str">
        <f aca="false">IF(OR(AC213="",N(Z213)=0),"",AC213/Z213)</f>
        <v/>
      </c>
      <c r="AE213" s="25" t="str">
        <f aca="false">IF(OR(S213="",N(Z213)=0),"",IF($B213="Short",-1,1)*(S213-H213)*G213/Z213)</f>
        <v/>
      </c>
      <c r="AF213" s="25" t="str">
        <f aca="false">IF(OR(T213="",N(Z213)=0),"",IF($B213="Short",-1,1)*(T213-H213)*G213/Z213)</f>
        <v/>
      </c>
      <c r="AG213" s="21" t="str">
        <f aca="false">IF(U213&lt;&gt;"Open","",Y213*MAX(0,IF($B213="Short",-1,1)*(H213-IF(K213="",I213,K213))))</f>
        <v/>
      </c>
      <c r="AH213" s="26" t="str">
        <f aca="false">IF(U213&lt;&gt;"Closed","",DATE(YEAR(P213),MONTH(P213),1))</f>
        <v/>
      </c>
      <c r="AI213" s="19" t="str">
        <f aca="false">IF(U213&lt;&gt;"Closed","",COUNTIFS($U$7:$U$506,"Closed",$P$7:$P$506,"&lt;"&amp;P213)+COUNTIFS($U$7:U213,"Closed",$P$7:P213,P213))</f>
        <v/>
      </c>
    </row>
    <row r="214" customFormat="false" ht="15" hidden="false" customHeight="false" outlineLevel="0" collapsed="false">
      <c r="A214" s="13"/>
      <c r="B214" s="48"/>
      <c r="C214" s="48"/>
      <c r="D214" s="48"/>
      <c r="E214" s="15"/>
      <c r="F214" s="15"/>
      <c r="G214" s="16"/>
      <c r="H214" s="17"/>
      <c r="I214" s="17"/>
      <c r="J214" s="17"/>
      <c r="K214" s="17"/>
      <c r="L214" s="16"/>
      <c r="M214" s="17"/>
      <c r="N214" s="16"/>
      <c r="O214" s="17"/>
      <c r="P214" s="15"/>
      <c r="Q214" s="17"/>
      <c r="R214" s="17"/>
      <c r="S214" s="17"/>
      <c r="T214" s="17"/>
      <c r="U214" s="18" t="str">
        <f aca="false">IF(A214="","",IF(N(G214)-N(L214)-N(N214)&lt;0,"Check shares",IF(AND(P214&lt;&gt;"",Q214&lt;&gt;""),"Closed","Open")))</f>
        <v/>
      </c>
      <c r="V214" s="19" t="str">
        <f aca="false">IF(OR(F214="",P214=""),"",NETWORKDAYS(F214,P214,Lists!$F$5:$F$40)-1)</f>
        <v/>
      </c>
      <c r="W214" s="18" t="str">
        <f aca="false">IF(V214="","",IF(V214=0,"Same day","Overnight"))</f>
        <v/>
      </c>
      <c r="X214" s="18" t="str">
        <f aca="false">IF(OR(E214="",F214=""),"",IF(AND(E214&gt;=F214,OR(P214="",E214&lt;=P214)),"Yes","No"))</f>
        <v/>
      </c>
      <c r="Y214" s="20" t="str">
        <f aca="false">IF(A214="","",N(G214)-N(L214)-N(N214))</f>
        <v/>
      </c>
      <c r="Z214" s="21" t="str">
        <f aca="false">IF(OR(G214="",H214="",I214=""),"",ABS(H214-I214)*G214)</f>
        <v/>
      </c>
      <c r="AA214" s="22" t="str">
        <f aca="false">IF(OR(J214="",N(Z214)=0),"",ABS(J214-H214)/ABS(H214-I214))</f>
        <v/>
      </c>
      <c r="AB214" s="23" t="str">
        <f aca="false">IF(U214&lt;&gt;"Closed","",(N(L214)*N(M214)+N(N214)*N(O214)+Y214*Q214)/G214)</f>
        <v/>
      </c>
      <c r="AC214" s="24" t="str">
        <f aca="false">IF(U214&lt;&gt;"Closed","",IF($B214="Short",-1,1)*((N(M214)-H214)*N(L214)+(N(O214)-H214)*N(N214)+(Q214-H214)*Y214)-N(R214))</f>
        <v/>
      </c>
      <c r="AD214" s="25" t="str">
        <f aca="false">IF(OR(AC214="",N(Z214)=0),"",AC214/Z214)</f>
        <v/>
      </c>
      <c r="AE214" s="25" t="str">
        <f aca="false">IF(OR(S214="",N(Z214)=0),"",IF($B214="Short",-1,1)*(S214-H214)*G214/Z214)</f>
        <v/>
      </c>
      <c r="AF214" s="25" t="str">
        <f aca="false">IF(OR(T214="",N(Z214)=0),"",IF($B214="Short",-1,1)*(T214-H214)*G214/Z214)</f>
        <v/>
      </c>
      <c r="AG214" s="21" t="str">
        <f aca="false">IF(U214&lt;&gt;"Open","",Y214*MAX(0,IF($B214="Short",-1,1)*(H214-IF(K214="",I214,K214))))</f>
        <v/>
      </c>
      <c r="AH214" s="26" t="str">
        <f aca="false">IF(U214&lt;&gt;"Closed","",DATE(YEAR(P214),MONTH(P214),1))</f>
        <v/>
      </c>
      <c r="AI214" s="19" t="str">
        <f aca="false">IF(U214&lt;&gt;"Closed","",COUNTIFS($U$7:$U$506,"Closed",$P$7:$P$506,"&lt;"&amp;P214)+COUNTIFS($U$7:U214,"Closed",$P$7:P214,P214))</f>
        <v/>
      </c>
    </row>
    <row r="215" customFormat="false" ht="15" hidden="false" customHeight="false" outlineLevel="0" collapsed="false">
      <c r="A215" s="13"/>
      <c r="B215" s="48"/>
      <c r="C215" s="48"/>
      <c r="D215" s="48"/>
      <c r="E215" s="15"/>
      <c r="F215" s="15"/>
      <c r="G215" s="16"/>
      <c r="H215" s="17"/>
      <c r="I215" s="17"/>
      <c r="J215" s="17"/>
      <c r="K215" s="17"/>
      <c r="L215" s="16"/>
      <c r="M215" s="17"/>
      <c r="N215" s="16"/>
      <c r="O215" s="17"/>
      <c r="P215" s="15"/>
      <c r="Q215" s="17"/>
      <c r="R215" s="17"/>
      <c r="S215" s="17"/>
      <c r="T215" s="17"/>
      <c r="U215" s="18" t="str">
        <f aca="false">IF(A215="","",IF(N(G215)-N(L215)-N(N215)&lt;0,"Check shares",IF(AND(P215&lt;&gt;"",Q215&lt;&gt;""),"Closed","Open")))</f>
        <v/>
      </c>
      <c r="V215" s="19" t="str">
        <f aca="false">IF(OR(F215="",P215=""),"",NETWORKDAYS(F215,P215,Lists!$F$5:$F$40)-1)</f>
        <v/>
      </c>
      <c r="W215" s="18" t="str">
        <f aca="false">IF(V215="","",IF(V215=0,"Same day","Overnight"))</f>
        <v/>
      </c>
      <c r="X215" s="18" t="str">
        <f aca="false">IF(OR(E215="",F215=""),"",IF(AND(E215&gt;=F215,OR(P215="",E215&lt;=P215)),"Yes","No"))</f>
        <v/>
      </c>
      <c r="Y215" s="20" t="str">
        <f aca="false">IF(A215="","",N(G215)-N(L215)-N(N215))</f>
        <v/>
      </c>
      <c r="Z215" s="21" t="str">
        <f aca="false">IF(OR(G215="",H215="",I215=""),"",ABS(H215-I215)*G215)</f>
        <v/>
      </c>
      <c r="AA215" s="22" t="str">
        <f aca="false">IF(OR(J215="",N(Z215)=0),"",ABS(J215-H215)/ABS(H215-I215))</f>
        <v/>
      </c>
      <c r="AB215" s="23" t="str">
        <f aca="false">IF(U215&lt;&gt;"Closed","",(N(L215)*N(M215)+N(N215)*N(O215)+Y215*Q215)/G215)</f>
        <v/>
      </c>
      <c r="AC215" s="24" t="str">
        <f aca="false">IF(U215&lt;&gt;"Closed","",IF($B215="Short",-1,1)*((N(M215)-H215)*N(L215)+(N(O215)-H215)*N(N215)+(Q215-H215)*Y215)-N(R215))</f>
        <v/>
      </c>
      <c r="AD215" s="25" t="str">
        <f aca="false">IF(OR(AC215="",N(Z215)=0),"",AC215/Z215)</f>
        <v/>
      </c>
      <c r="AE215" s="25" t="str">
        <f aca="false">IF(OR(S215="",N(Z215)=0),"",IF($B215="Short",-1,1)*(S215-H215)*G215/Z215)</f>
        <v/>
      </c>
      <c r="AF215" s="25" t="str">
        <f aca="false">IF(OR(T215="",N(Z215)=0),"",IF($B215="Short",-1,1)*(T215-H215)*G215/Z215)</f>
        <v/>
      </c>
      <c r="AG215" s="21" t="str">
        <f aca="false">IF(U215&lt;&gt;"Open","",Y215*MAX(0,IF($B215="Short",-1,1)*(H215-IF(K215="",I215,K215))))</f>
        <v/>
      </c>
      <c r="AH215" s="26" t="str">
        <f aca="false">IF(U215&lt;&gt;"Closed","",DATE(YEAR(P215),MONTH(P215),1))</f>
        <v/>
      </c>
      <c r="AI215" s="19" t="str">
        <f aca="false">IF(U215&lt;&gt;"Closed","",COUNTIFS($U$7:$U$506,"Closed",$P$7:$P$506,"&lt;"&amp;P215)+COUNTIFS($U$7:U215,"Closed",$P$7:P215,P215))</f>
        <v/>
      </c>
    </row>
    <row r="216" customFormat="false" ht="15" hidden="false" customHeight="false" outlineLevel="0" collapsed="false">
      <c r="A216" s="13"/>
      <c r="B216" s="48"/>
      <c r="C216" s="48"/>
      <c r="D216" s="48"/>
      <c r="E216" s="15"/>
      <c r="F216" s="15"/>
      <c r="G216" s="16"/>
      <c r="H216" s="17"/>
      <c r="I216" s="17"/>
      <c r="J216" s="17"/>
      <c r="K216" s="17"/>
      <c r="L216" s="16"/>
      <c r="M216" s="17"/>
      <c r="N216" s="16"/>
      <c r="O216" s="17"/>
      <c r="P216" s="15"/>
      <c r="Q216" s="17"/>
      <c r="R216" s="17"/>
      <c r="S216" s="17"/>
      <c r="T216" s="17"/>
      <c r="U216" s="18" t="str">
        <f aca="false">IF(A216="","",IF(N(G216)-N(L216)-N(N216)&lt;0,"Check shares",IF(AND(P216&lt;&gt;"",Q216&lt;&gt;""),"Closed","Open")))</f>
        <v/>
      </c>
      <c r="V216" s="19" t="str">
        <f aca="false">IF(OR(F216="",P216=""),"",NETWORKDAYS(F216,P216,Lists!$F$5:$F$40)-1)</f>
        <v/>
      </c>
      <c r="W216" s="18" t="str">
        <f aca="false">IF(V216="","",IF(V216=0,"Same day","Overnight"))</f>
        <v/>
      </c>
      <c r="X216" s="18" t="str">
        <f aca="false">IF(OR(E216="",F216=""),"",IF(AND(E216&gt;=F216,OR(P216="",E216&lt;=P216)),"Yes","No"))</f>
        <v/>
      </c>
      <c r="Y216" s="20" t="str">
        <f aca="false">IF(A216="","",N(G216)-N(L216)-N(N216))</f>
        <v/>
      </c>
      <c r="Z216" s="21" t="str">
        <f aca="false">IF(OR(G216="",H216="",I216=""),"",ABS(H216-I216)*G216)</f>
        <v/>
      </c>
      <c r="AA216" s="22" t="str">
        <f aca="false">IF(OR(J216="",N(Z216)=0),"",ABS(J216-H216)/ABS(H216-I216))</f>
        <v/>
      </c>
      <c r="AB216" s="23" t="str">
        <f aca="false">IF(U216&lt;&gt;"Closed","",(N(L216)*N(M216)+N(N216)*N(O216)+Y216*Q216)/G216)</f>
        <v/>
      </c>
      <c r="AC216" s="24" t="str">
        <f aca="false">IF(U216&lt;&gt;"Closed","",IF($B216="Short",-1,1)*((N(M216)-H216)*N(L216)+(N(O216)-H216)*N(N216)+(Q216-H216)*Y216)-N(R216))</f>
        <v/>
      </c>
      <c r="AD216" s="25" t="str">
        <f aca="false">IF(OR(AC216="",N(Z216)=0),"",AC216/Z216)</f>
        <v/>
      </c>
      <c r="AE216" s="25" t="str">
        <f aca="false">IF(OR(S216="",N(Z216)=0),"",IF($B216="Short",-1,1)*(S216-H216)*G216/Z216)</f>
        <v/>
      </c>
      <c r="AF216" s="25" t="str">
        <f aca="false">IF(OR(T216="",N(Z216)=0),"",IF($B216="Short",-1,1)*(T216-H216)*G216/Z216)</f>
        <v/>
      </c>
      <c r="AG216" s="21" t="str">
        <f aca="false">IF(U216&lt;&gt;"Open","",Y216*MAX(0,IF($B216="Short",-1,1)*(H216-IF(K216="",I216,K216))))</f>
        <v/>
      </c>
      <c r="AH216" s="26" t="str">
        <f aca="false">IF(U216&lt;&gt;"Closed","",DATE(YEAR(P216),MONTH(P216),1))</f>
        <v/>
      </c>
      <c r="AI216" s="19" t="str">
        <f aca="false">IF(U216&lt;&gt;"Closed","",COUNTIFS($U$7:$U$506,"Closed",$P$7:$P$506,"&lt;"&amp;P216)+COUNTIFS($U$7:U216,"Closed",$P$7:P216,P216))</f>
        <v/>
      </c>
    </row>
    <row r="217" customFormat="false" ht="15" hidden="false" customHeight="false" outlineLevel="0" collapsed="false">
      <c r="A217" s="13"/>
      <c r="B217" s="48"/>
      <c r="C217" s="48"/>
      <c r="D217" s="48"/>
      <c r="E217" s="15"/>
      <c r="F217" s="15"/>
      <c r="G217" s="16"/>
      <c r="H217" s="17"/>
      <c r="I217" s="17"/>
      <c r="J217" s="17"/>
      <c r="K217" s="17"/>
      <c r="L217" s="16"/>
      <c r="M217" s="17"/>
      <c r="N217" s="16"/>
      <c r="O217" s="17"/>
      <c r="P217" s="15"/>
      <c r="Q217" s="17"/>
      <c r="R217" s="17"/>
      <c r="S217" s="17"/>
      <c r="T217" s="17"/>
      <c r="U217" s="18" t="str">
        <f aca="false">IF(A217="","",IF(N(G217)-N(L217)-N(N217)&lt;0,"Check shares",IF(AND(P217&lt;&gt;"",Q217&lt;&gt;""),"Closed","Open")))</f>
        <v/>
      </c>
      <c r="V217" s="19" t="str">
        <f aca="false">IF(OR(F217="",P217=""),"",NETWORKDAYS(F217,P217,Lists!$F$5:$F$40)-1)</f>
        <v/>
      </c>
      <c r="W217" s="18" t="str">
        <f aca="false">IF(V217="","",IF(V217=0,"Same day","Overnight"))</f>
        <v/>
      </c>
      <c r="X217" s="18" t="str">
        <f aca="false">IF(OR(E217="",F217=""),"",IF(AND(E217&gt;=F217,OR(P217="",E217&lt;=P217)),"Yes","No"))</f>
        <v/>
      </c>
      <c r="Y217" s="20" t="str">
        <f aca="false">IF(A217="","",N(G217)-N(L217)-N(N217))</f>
        <v/>
      </c>
      <c r="Z217" s="21" t="str">
        <f aca="false">IF(OR(G217="",H217="",I217=""),"",ABS(H217-I217)*G217)</f>
        <v/>
      </c>
      <c r="AA217" s="22" t="str">
        <f aca="false">IF(OR(J217="",N(Z217)=0),"",ABS(J217-H217)/ABS(H217-I217))</f>
        <v/>
      </c>
      <c r="AB217" s="23" t="str">
        <f aca="false">IF(U217&lt;&gt;"Closed","",(N(L217)*N(M217)+N(N217)*N(O217)+Y217*Q217)/G217)</f>
        <v/>
      </c>
      <c r="AC217" s="24" t="str">
        <f aca="false">IF(U217&lt;&gt;"Closed","",IF($B217="Short",-1,1)*((N(M217)-H217)*N(L217)+(N(O217)-H217)*N(N217)+(Q217-H217)*Y217)-N(R217))</f>
        <v/>
      </c>
      <c r="AD217" s="25" t="str">
        <f aca="false">IF(OR(AC217="",N(Z217)=0),"",AC217/Z217)</f>
        <v/>
      </c>
      <c r="AE217" s="25" t="str">
        <f aca="false">IF(OR(S217="",N(Z217)=0),"",IF($B217="Short",-1,1)*(S217-H217)*G217/Z217)</f>
        <v/>
      </c>
      <c r="AF217" s="25" t="str">
        <f aca="false">IF(OR(T217="",N(Z217)=0),"",IF($B217="Short",-1,1)*(T217-H217)*G217/Z217)</f>
        <v/>
      </c>
      <c r="AG217" s="21" t="str">
        <f aca="false">IF(U217&lt;&gt;"Open","",Y217*MAX(0,IF($B217="Short",-1,1)*(H217-IF(K217="",I217,K217))))</f>
        <v/>
      </c>
      <c r="AH217" s="26" t="str">
        <f aca="false">IF(U217&lt;&gt;"Closed","",DATE(YEAR(P217),MONTH(P217),1))</f>
        <v/>
      </c>
      <c r="AI217" s="19" t="str">
        <f aca="false">IF(U217&lt;&gt;"Closed","",COUNTIFS($U$7:$U$506,"Closed",$P$7:$P$506,"&lt;"&amp;P217)+COUNTIFS($U$7:U217,"Closed",$P$7:P217,P217))</f>
        <v/>
      </c>
    </row>
    <row r="218" customFormat="false" ht="15" hidden="false" customHeight="false" outlineLevel="0" collapsed="false">
      <c r="A218" s="13"/>
      <c r="B218" s="48"/>
      <c r="C218" s="48"/>
      <c r="D218" s="48"/>
      <c r="E218" s="15"/>
      <c r="F218" s="15"/>
      <c r="G218" s="16"/>
      <c r="H218" s="17"/>
      <c r="I218" s="17"/>
      <c r="J218" s="17"/>
      <c r="K218" s="17"/>
      <c r="L218" s="16"/>
      <c r="M218" s="17"/>
      <c r="N218" s="16"/>
      <c r="O218" s="17"/>
      <c r="P218" s="15"/>
      <c r="Q218" s="17"/>
      <c r="R218" s="17"/>
      <c r="S218" s="17"/>
      <c r="T218" s="17"/>
      <c r="U218" s="18" t="str">
        <f aca="false">IF(A218="","",IF(N(G218)-N(L218)-N(N218)&lt;0,"Check shares",IF(AND(P218&lt;&gt;"",Q218&lt;&gt;""),"Closed","Open")))</f>
        <v/>
      </c>
      <c r="V218" s="19" t="str">
        <f aca="false">IF(OR(F218="",P218=""),"",NETWORKDAYS(F218,P218,Lists!$F$5:$F$40)-1)</f>
        <v/>
      </c>
      <c r="W218" s="18" t="str">
        <f aca="false">IF(V218="","",IF(V218=0,"Same day","Overnight"))</f>
        <v/>
      </c>
      <c r="X218" s="18" t="str">
        <f aca="false">IF(OR(E218="",F218=""),"",IF(AND(E218&gt;=F218,OR(P218="",E218&lt;=P218)),"Yes","No"))</f>
        <v/>
      </c>
      <c r="Y218" s="20" t="str">
        <f aca="false">IF(A218="","",N(G218)-N(L218)-N(N218))</f>
        <v/>
      </c>
      <c r="Z218" s="21" t="str">
        <f aca="false">IF(OR(G218="",H218="",I218=""),"",ABS(H218-I218)*G218)</f>
        <v/>
      </c>
      <c r="AA218" s="22" t="str">
        <f aca="false">IF(OR(J218="",N(Z218)=0),"",ABS(J218-H218)/ABS(H218-I218))</f>
        <v/>
      </c>
      <c r="AB218" s="23" t="str">
        <f aca="false">IF(U218&lt;&gt;"Closed","",(N(L218)*N(M218)+N(N218)*N(O218)+Y218*Q218)/G218)</f>
        <v/>
      </c>
      <c r="AC218" s="24" t="str">
        <f aca="false">IF(U218&lt;&gt;"Closed","",IF($B218="Short",-1,1)*((N(M218)-H218)*N(L218)+(N(O218)-H218)*N(N218)+(Q218-H218)*Y218)-N(R218))</f>
        <v/>
      </c>
      <c r="AD218" s="25" t="str">
        <f aca="false">IF(OR(AC218="",N(Z218)=0),"",AC218/Z218)</f>
        <v/>
      </c>
      <c r="AE218" s="25" t="str">
        <f aca="false">IF(OR(S218="",N(Z218)=0),"",IF($B218="Short",-1,1)*(S218-H218)*G218/Z218)</f>
        <v/>
      </c>
      <c r="AF218" s="25" t="str">
        <f aca="false">IF(OR(T218="",N(Z218)=0),"",IF($B218="Short",-1,1)*(T218-H218)*G218/Z218)</f>
        <v/>
      </c>
      <c r="AG218" s="21" t="str">
        <f aca="false">IF(U218&lt;&gt;"Open","",Y218*MAX(0,IF($B218="Short",-1,1)*(H218-IF(K218="",I218,K218))))</f>
        <v/>
      </c>
      <c r="AH218" s="26" t="str">
        <f aca="false">IF(U218&lt;&gt;"Closed","",DATE(YEAR(P218),MONTH(P218),1))</f>
        <v/>
      </c>
      <c r="AI218" s="19" t="str">
        <f aca="false">IF(U218&lt;&gt;"Closed","",COUNTIFS($U$7:$U$506,"Closed",$P$7:$P$506,"&lt;"&amp;P218)+COUNTIFS($U$7:U218,"Closed",$P$7:P218,P218))</f>
        <v/>
      </c>
    </row>
    <row r="219" customFormat="false" ht="15" hidden="false" customHeight="false" outlineLevel="0" collapsed="false">
      <c r="A219" s="13"/>
      <c r="B219" s="48"/>
      <c r="C219" s="48"/>
      <c r="D219" s="48"/>
      <c r="E219" s="15"/>
      <c r="F219" s="15"/>
      <c r="G219" s="16"/>
      <c r="H219" s="17"/>
      <c r="I219" s="17"/>
      <c r="J219" s="17"/>
      <c r="K219" s="17"/>
      <c r="L219" s="16"/>
      <c r="M219" s="17"/>
      <c r="N219" s="16"/>
      <c r="O219" s="17"/>
      <c r="P219" s="15"/>
      <c r="Q219" s="17"/>
      <c r="R219" s="17"/>
      <c r="S219" s="17"/>
      <c r="T219" s="17"/>
      <c r="U219" s="18" t="str">
        <f aca="false">IF(A219="","",IF(N(G219)-N(L219)-N(N219)&lt;0,"Check shares",IF(AND(P219&lt;&gt;"",Q219&lt;&gt;""),"Closed","Open")))</f>
        <v/>
      </c>
      <c r="V219" s="19" t="str">
        <f aca="false">IF(OR(F219="",P219=""),"",NETWORKDAYS(F219,P219,Lists!$F$5:$F$40)-1)</f>
        <v/>
      </c>
      <c r="W219" s="18" t="str">
        <f aca="false">IF(V219="","",IF(V219=0,"Same day","Overnight"))</f>
        <v/>
      </c>
      <c r="X219" s="18" t="str">
        <f aca="false">IF(OR(E219="",F219=""),"",IF(AND(E219&gt;=F219,OR(P219="",E219&lt;=P219)),"Yes","No"))</f>
        <v/>
      </c>
      <c r="Y219" s="20" t="str">
        <f aca="false">IF(A219="","",N(G219)-N(L219)-N(N219))</f>
        <v/>
      </c>
      <c r="Z219" s="21" t="str">
        <f aca="false">IF(OR(G219="",H219="",I219=""),"",ABS(H219-I219)*G219)</f>
        <v/>
      </c>
      <c r="AA219" s="22" t="str">
        <f aca="false">IF(OR(J219="",N(Z219)=0),"",ABS(J219-H219)/ABS(H219-I219))</f>
        <v/>
      </c>
      <c r="AB219" s="23" t="str">
        <f aca="false">IF(U219&lt;&gt;"Closed","",(N(L219)*N(M219)+N(N219)*N(O219)+Y219*Q219)/G219)</f>
        <v/>
      </c>
      <c r="AC219" s="24" t="str">
        <f aca="false">IF(U219&lt;&gt;"Closed","",IF($B219="Short",-1,1)*((N(M219)-H219)*N(L219)+(N(O219)-H219)*N(N219)+(Q219-H219)*Y219)-N(R219))</f>
        <v/>
      </c>
      <c r="AD219" s="25" t="str">
        <f aca="false">IF(OR(AC219="",N(Z219)=0),"",AC219/Z219)</f>
        <v/>
      </c>
      <c r="AE219" s="25" t="str">
        <f aca="false">IF(OR(S219="",N(Z219)=0),"",IF($B219="Short",-1,1)*(S219-H219)*G219/Z219)</f>
        <v/>
      </c>
      <c r="AF219" s="25" t="str">
        <f aca="false">IF(OR(T219="",N(Z219)=0),"",IF($B219="Short",-1,1)*(T219-H219)*G219/Z219)</f>
        <v/>
      </c>
      <c r="AG219" s="21" t="str">
        <f aca="false">IF(U219&lt;&gt;"Open","",Y219*MAX(0,IF($B219="Short",-1,1)*(H219-IF(K219="",I219,K219))))</f>
        <v/>
      </c>
      <c r="AH219" s="26" t="str">
        <f aca="false">IF(U219&lt;&gt;"Closed","",DATE(YEAR(P219),MONTH(P219),1))</f>
        <v/>
      </c>
      <c r="AI219" s="19" t="str">
        <f aca="false">IF(U219&lt;&gt;"Closed","",COUNTIFS($U$7:$U$506,"Closed",$P$7:$P$506,"&lt;"&amp;P219)+COUNTIFS($U$7:U219,"Closed",$P$7:P219,P219))</f>
        <v/>
      </c>
    </row>
    <row r="220" customFormat="false" ht="15" hidden="false" customHeight="false" outlineLevel="0" collapsed="false">
      <c r="A220" s="13"/>
      <c r="B220" s="48"/>
      <c r="C220" s="48"/>
      <c r="D220" s="48"/>
      <c r="E220" s="15"/>
      <c r="F220" s="15"/>
      <c r="G220" s="16"/>
      <c r="H220" s="17"/>
      <c r="I220" s="17"/>
      <c r="J220" s="17"/>
      <c r="K220" s="17"/>
      <c r="L220" s="16"/>
      <c r="M220" s="17"/>
      <c r="N220" s="16"/>
      <c r="O220" s="17"/>
      <c r="P220" s="15"/>
      <c r="Q220" s="17"/>
      <c r="R220" s="17"/>
      <c r="S220" s="17"/>
      <c r="T220" s="17"/>
      <c r="U220" s="18" t="str">
        <f aca="false">IF(A220="","",IF(N(G220)-N(L220)-N(N220)&lt;0,"Check shares",IF(AND(P220&lt;&gt;"",Q220&lt;&gt;""),"Closed","Open")))</f>
        <v/>
      </c>
      <c r="V220" s="19" t="str">
        <f aca="false">IF(OR(F220="",P220=""),"",NETWORKDAYS(F220,P220,Lists!$F$5:$F$40)-1)</f>
        <v/>
      </c>
      <c r="W220" s="18" t="str">
        <f aca="false">IF(V220="","",IF(V220=0,"Same day","Overnight"))</f>
        <v/>
      </c>
      <c r="X220" s="18" t="str">
        <f aca="false">IF(OR(E220="",F220=""),"",IF(AND(E220&gt;=F220,OR(P220="",E220&lt;=P220)),"Yes","No"))</f>
        <v/>
      </c>
      <c r="Y220" s="20" t="str">
        <f aca="false">IF(A220="","",N(G220)-N(L220)-N(N220))</f>
        <v/>
      </c>
      <c r="Z220" s="21" t="str">
        <f aca="false">IF(OR(G220="",H220="",I220=""),"",ABS(H220-I220)*G220)</f>
        <v/>
      </c>
      <c r="AA220" s="22" t="str">
        <f aca="false">IF(OR(J220="",N(Z220)=0),"",ABS(J220-H220)/ABS(H220-I220))</f>
        <v/>
      </c>
      <c r="AB220" s="23" t="str">
        <f aca="false">IF(U220&lt;&gt;"Closed","",(N(L220)*N(M220)+N(N220)*N(O220)+Y220*Q220)/G220)</f>
        <v/>
      </c>
      <c r="AC220" s="24" t="str">
        <f aca="false">IF(U220&lt;&gt;"Closed","",IF($B220="Short",-1,1)*((N(M220)-H220)*N(L220)+(N(O220)-H220)*N(N220)+(Q220-H220)*Y220)-N(R220))</f>
        <v/>
      </c>
      <c r="AD220" s="25" t="str">
        <f aca="false">IF(OR(AC220="",N(Z220)=0),"",AC220/Z220)</f>
        <v/>
      </c>
      <c r="AE220" s="25" t="str">
        <f aca="false">IF(OR(S220="",N(Z220)=0),"",IF($B220="Short",-1,1)*(S220-H220)*G220/Z220)</f>
        <v/>
      </c>
      <c r="AF220" s="25" t="str">
        <f aca="false">IF(OR(T220="",N(Z220)=0),"",IF($B220="Short",-1,1)*(T220-H220)*G220/Z220)</f>
        <v/>
      </c>
      <c r="AG220" s="21" t="str">
        <f aca="false">IF(U220&lt;&gt;"Open","",Y220*MAX(0,IF($B220="Short",-1,1)*(H220-IF(K220="",I220,K220))))</f>
        <v/>
      </c>
      <c r="AH220" s="26" t="str">
        <f aca="false">IF(U220&lt;&gt;"Closed","",DATE(YEAR(P220),MONTH(P220),1))</f>
        <v/>
      </c>
      <c r="AI220" s="19" t="str">
        <f aca="false">IF(U220&lt;&gt;"Closed","",COUNTIFS($U$7:$U$506,"Closed",$P$7:$P$506,"&lt;"&amp;P220)+COUNTIFS($U$7:U220,"Closed",$P$7:P220,P220))</f>
        <v/>
      </c>
    </row>
    <row r="221" customFormat="false" ht="15" hidden="false" customHeight="false" outlineLevel="0" collapsed="false">
      <c r="A221" s="13"/>
      <c r="B221" s="48"/>
      <c r="C221" s="48"/>
      <c r="D221" s="48"/>
      <c r="E221" s="15"/>
      <c r="F221" s="15"/>
      <c r="G221" s="16"/>
      <c r="H221" s="17"/>
      <c r="I221" s="17"/>
      <c r="J221" s="17"/>
      <c r="K221" s="17"/>
      <c r="L221" s="16"/>
      <c r="M221" s="17"/>
      <c r="N221" s="16"/>
      <c r="O221" s="17"/>
      <c r="P221" s="15"/>
      <c r="Q221" s="17"/>
      <c r="R221" s="17"/>
      <c r="S221" s="17"/>
      <c r="T221" s="17"/>
      <c r="U221" s="18" t="str">
        <f aca="false">IF(A221="","",IF(N(G221)-N(L221)-N(N221)&lt;0,"Check shares",IF(AND(P221&lt;&gt;"",Q221&lt;&gt;""),"Closed","Open")))</f>
        <v/>
      </c>
      <c r="V221" s="19" t="str">
        <f aca="false">IF(OR(F221="",P221=""),"",NETWORKDAYS(F221,P221,Lists!$F$5:$F$40)-1)</f>
        <v/>
      </c>
      <c r="W221" s="18" t="str">
        <f aca="false">IF(V221="","",IF(V221=0,"Same day","Overnight"))</f>
        <v/>
      </c>
      <c r="X221" s="18" t="str">
        <f aca="false">IF(OR(E221="",F221=""),"",IF(AND(E221&gt;=F221,OR(P221="",E221&lt;=P221)),"Yes","No"))</f>
        <v/>
      </c>
      <c r="Y221" s="20" t="str">
        <f aca="false">IF(A221="","",N(G221)-N(L221)-N(N221))</f>
        <v/>
      </c>
      <c r="Z221" s="21" t="str">
        <f aca="false">IF(OR(G221="",H221="",I221=""),"",ABS(H221-I221)*G221)</f>
        <v/>
      </c>
      <c r="AA221" s="22" t="str">
        <f aca="false">IF(OR(J221="",N(Z221)=0),"",ABS(J221-H221)/ABS(H221-I221))</f>
        <v/>
      </c>
      <c r="AB221" s="23" t="str">
        <f aca="false">IF(U221&lt;&gt;"Closed","",(N(L221)*N(M221)+N(N221)*N(O221)+Y221*Q221)/G221)</f>
        <v/>
      </c>
      <c r="AC221" s="24" t="str">
        <f aca="false">IF(U221&lt;&gt;"Closed","",IF($B221="Short",-1,1)*((N(M221)-H221)*N(L221)+(N(O221)-H221)*N(N221)+(Q221-H221)*Y221)-N(R221))</f>
        <v/>
      </c>
      <c r="AD221" s="25" t="str">
        <f aca="false">IF(OR(AC221="",N(Z221)=0),"",AC221/Z221)</f>
        <v/>
      </c>
      <c r="AE221" s="25" t="str">
        <f aca="false">IF(OR(S221="",N(Z221)=0),"",IF($B221="Short",-1,1)*(S221-H221)*G221/Z221)</f>
        <v/>
      </c>
      <c r="AF221" s="25" t="str">
        <f aca="false">IF(OR(T221="",N(Z221)=0),"",IF($B221="Short",-1,1)*(T221-H221)*G221/Z221)</f>
        <v/>
      </c>
      <c r="AG221" s="21" t="str">
        <f aca="false">IF(U221&lt;&gt;"Open","",Y221*MAX(0,IF($B221="Short",-1,1)*(H221-IF(K221="",I221,K221))))</f>
        <v/>
      </c>
      <c r="AH221" s="26" t="str">
        <f aca="false">IF(U221&lt;&gt;"Closed","",DATE(YEAR(P221),MONTH(P221),1))</f>
        <v/>
      </c>
      <c r="AI221" s="19" t="str">
        <f aca="false">IF(U221&lt;&gt;"Closed","",COUNTIFS($U$7:$U$506,"Closed",$P$7:$P$506,"&lt;"&amp;P221)+COUNTIFS($U$7:U221,"Closed",$P$7:P221,P221))</f>
        <v/>
      </c>
    </row>
    <row r="222" customFormat="false" ht="15" hidden="false" customHeight="false" outlineLevel="0" collapsed="false">
      <c r="A222" s="13"/>
      <c r="B222" s="48"/>
      <c r="C222" s="48"/>
      <c r="D222" s="48"/>
      <c r="E222" s="15"/>
      <c r="F222" s="15"/>
      <c r="G222" s="16"/>
      <c r="H222" s="17"/>
      <c r="I222" s="17"/>
      <c r="J222" s="17"/>
      <c r="K222" s="17"/>
      <c r="L222" s="16"/>
      <c r="M222" s="17"/>
      <c r="N222" s="16"/>
      <c r="O222" s="17"/>
      <c r="P222" s="15"/>
      <c r="Q222" s="17"/>
      <c r="R222" s="17"/>
      <c r="S222" s="17"/>
      <c r="T222" s="17"/>
      <c r="U222" s="18" t="str">
        <f aca="false">IF(A222="","",IF(N(G222)-N(L222)-N(N222)&lt;0,"Check shares",IF(AND(P222&lt;&gt;"",Q222&lt;&gt;""),"Closed","Open")))</f>
        <v/>
      </c>
      <c r="V222" s="19" t="str">
        <f aca="false">IF(OR(F222="",P222=""),"",NETWORKDAYS(F222,P222,Lists!$F$5:$F$40)-1)</f>
        <v/>
      </c>
      <c r="W222" s="18" t="str">
        <f aca="false">IF(V222="","",IF(V222=0,"Same day","Overnight"))</f>
        <v/>
      </c>
      <c r="X222" s="18" t="str">
        <f aca="false">IF(OR(E222="",F222=""),"",IF(AND(E222&gt;=F222,OR(P222="",E222&lt;=P222)),"Yes","No"))</f>
        <v/>
      </c>
      <c r="Y222" s="20" t="str">
        <f aca="false">IF(A222="","",N(G222)-N(L222)-N(N222))</f>
        <v/>
      </c>
      <c r="Z222" s="21" t="str">
        <f aca="false">IF(OR(G222="",H222="",I222=""),"",ABS(H222-I222)*G222)</f>
        <v/>
      </c>
      <c r="AA222" s="22" t="str">
        <f aca="false">IF(OR(J222="",N(Z222)=0),"",ABS(J222-H222)/ABS(H222-I222))</f>
        <v/>
      </c>
      <c r="AB222" s="23" t="str">
        <f aca="false">IF(U222&lt;&gt;"Closed","",(N(L222)*N(M222)+N(N222)*N(O222)+Y222*Q222)/G222)</f>
        <v/>
      </c>
      <c r="AC222" s="24" t="str">
        <f aca="false">IF(U222&lt;&gt;"Closed","",IF($B222="Short",-1,1)*((N(M222)-H222)*N(L222)+(N(O222)-H222)*N(N222)+(Q222-H222)*Y222)-N(R222))</f>
        <v/>
      </c>
      <c r="AD222" s="25" t="str">
        <f aca="false">IF(OR(AC222="",N(Z222)=0),"",AC222/Z222)</f>
        <v/>
      </c>
      <c r="AE222" s="25" t="str">
        <f aca="false">IF(OR(S222="",N(Z222)=0),"",IF($B222="Short",-1,1)*(S222-H222)*G222/Z222)</f>
        <v/>
      </c>
      <c r="AF222" s="25" t="str">
        <f aca="false">IF(OR(T222="",N(Z222)=0),"",IF($B222="Short",-1,1)*(T222-H222)*G222/Z222)</f>
        <v/>
      </c>
      <c r="AG222" s="21" t="str">
        <f aca="false">IF(U222&lt;&gt;"Open","",Y222*MAX(0,IF($B222="Short",-1,1)*(H222-IF(K222="",I222,K222))))</f>
        <v/>
      </c>
      <c r="AH222" s="26" t="str">
        <f aca="false">IF(U222&lt;&gt;"Closed","",DATE(YEAR(P222),MONTH(P222),1))</f>
        <v/>
      </c>
      <c r="AI222" s="19" t="str">
        <f aca="false">IF(U222&lt;&gt;"Closed","",COUNTIFS($U$7:$U$506,"Closed",$P$7:$P$506,"&lt;"&amp;P222)+COUNTIFS($U$7:U222,"Closed",$P$7:P222,P222))</f>
        <v/>
      </c>
    </row>
    <row r="223" customFormat="false" ht="15" hidden="false" customHeight="false" outlineLevel="0" collapsed="false">
      <c r="A223" s="13"/>
      <c r="B223" s="48"/>
      <c r="C223" s="48"/>
      <c r="D223" s="48"/>
      <c r="E223" s="15"/>
      <c r="F223" s="15"/>
      <c r="G223" s="16"/>
      <c r="H223" s="17"/>
      <c r="I223" s="17"/>
      <c r="J223" s="17"/>
      <c r="K223" s="17"/>
      <c r="L223" s="16"/>
      <c r="M223" s="17"/>
      <c r="N223" s="16"/>
      <c r="O223" s="17"/>
      <c r="P223" s="15"/>
      <c r="Q223" s="17"/>
      <c r="R223" s="17"/>
      <c r="S223" s="17"/>
      <c r="T223" s="17"/>
      <c r="U223" s="18" t="str">
        <f aca="false">IF(A223="","",IF(N(G223)-N(L223)-N(N223)&lt;0,"Check shares",IF(AND(P223&lt;&gt;"",Q223&lt;&gt;""),"Closed","Open")))</f>
        <v/>
      </c>
      <c r="V223" s="19" t="str">
        <f aca="false">IF(OR(F223="",P223=""),"",NETWORKDAYS(F223,P223,Lists!$F$5:$F$40)-1)</f>
        <v/>
      </c>
      <c r="W223" s="18" t="str">
        <f aca="false">IF(V223="","",IF(V223=0,"Same day","Overnight"))</f>
        <v/>
      </c>
      <c r="X223" s="18" t="str">
        <f aca="false">IF(OR(E223="",F223=""),"",IF(AND(E223&gt;=F223,OR(P223="",E223&lt;=P223)),"Yes","No"))</f>
        <v/>
      </c>
      <c r="Y223" s="20" t="str">
        <f aca="false">IF(A223="","",N(G223)-N(L223)-N(N223))</f>
        <v/>
      </c>
      <c r="Z223" s="21" t="str">
        <f aca="false">IF(OR(G223="",H223="",I223=""),"",ABS(H223-I223)*G223)</f>
        <v/>
      </c>
      <c r="AA223" s="22" t="str">
        <f aca="false">IF(OR(J223="",N(Z223)=0),"",ABS(J223-H223)/ABS(H223-I223))</f>
        <v/>
      </c>
      <c r="AB223" s="23" t="str">
        <f aca="false">IF(U223&lt;&gt;"Closed","",(N(L223)*N(M223)+N(N223)*N(O223)+Y223*Q223)/G223)</f>
        <v/>
      </c>
      <c r="AC223" s="24" t="str">
        <f aca="false">IF(U223&lt;&gt;"Closed","",IF($B223="Short",-1,1)*((N(M223)-H223)*N(L223)+(N(O223)-H223)*N(N223)+(Q223-H223)*Y223)-N(R223))</f>
        <v/>
      </c>
      <c r="AD223" s="25" t="str">
        <f aca="false">IF(OR(AC223="",N(Z223)=0),"",AC223/Z223)</f>
        <v/>
      </c>
      <c r="AE223" s="25" t="str">
        <f aca="false">IF(OR(S223="",N(Z223)=0),"",IF($B223="Short",-1,1)*(S223-H223)*G223/Z223)</f>
        <v/>
      </c>
      <c r="AF223" s="25" t="str">
        <f aca="false">IF(OR(T223="",N(Z223)=0),"",IF($B223="Short",-1,1)*(T223-H223)*G223/Z223)</f>
        <v/>
      </c>
      <c r="AG223" s="21" t="str">
        <f aca="false">IF(U223&lt;&gt;"Open","",Y223*MAX(0,IF($B223="Short",-1,1)*(H223-IF(K223="",I223,K223))))</f>
        <v/>
      </c>
      <c r="AH223" s="26" t="str">
        <f aca="false">IF(U223&lt;&gt;"Closed","",DATE(YEAR(P223),MONTH(P223),1))</f>
        <v/>
      </c>
      <c r="AI223" s="19" t="str">
        <f aca="false">IF(U223&lt;&gt;"Closed","",COUNTIFS($U$7:$U$506,"Closed",$P$7:$P$506,"&lt;"&amp;P223)+COUNTIFS($U$7:U223,"Closed",$P$7:P223,P223))</f>
        <v/>
      </c>
    </row>
    <row r="224" customFormat="false" ht="15" hidden="false" customHeight="false" outlineLevel="0" collapsed="false">
      <c r="A224" s="13"/>
      <c r="B224" s="48"/>
      <c r="C224" s="48"/>
      <c r="D224" s="48"/>
      <c r="E224" s="15"/>
      <c r="F224" s="15"/>
      <c r="G224" s="16"/>
      <c r="H224" s="17"/>
      <c r="I224" s="17"/>
      <c r="J224" s="17"/>
      <c r="K224" s="17"/>
      <c r="L224" s="16"/>
      <c r="M224" s="17"/>
      <c r="N224" s="16"/>
      <c r="O224" s="17"/>
      <c r="P224" s="15"/>
      <c r="Q224" s="17"/>
      <c r="R224" s="17"/>
      <c r="S224" s="17"/>
      <c r="T224" s="17"/>
      <c r="U224" s="18" t="str">
        <f aca="false">IF(A224="","",IF(N(G224)-N(L224)-N(N224)&lt;0,"Check shares",IF(AND(P224&lt;&gt;"",Q224&lt;&gt;""),"Closed","Open")))</f>
        <v/>
      </c>
      <c r="V224" s="19" t="str">
        <f aca="false">IF(OR(F224="",P224=""),"",NETWORKDAYS(F224,P224,Lists!$F$5:$F$40)-1)</f>
        <v/>
      </c>
      <c r="W224" s="18" t="str">
        <f aca="false">IF(V224="","",IF(V224=0,"Same day","Overnight"))</f>
        <v/>
      </c>
      <c r="X224" s="18" t="str">
        <f aca="false">IF(OR(E224="",F224=""),"",IF(AND(E224&gt;=F224,OR(P224="",E224&lt;=P224)),"Yes","No"))</f>
        <v/>
      </c>
      <c r="Y224" s="20" t="str">
        <f aca="false">IF(A224="","",N(G224)-N(L224)-N(N224))</f>
        <v/>
      </c>
      <c r="Z224" s="21" t="str">
        <f aca="false">IF(OR(G224="",H224="",I224=""),"",ABS(H224-I224)*G224)</f>
        <v/>
      </c>
      <c r="AA224" s="22" t="str">
        <f aca="false">IF(OR(J224="",N(Z224)=0),"",ABS(J224-H224)/ABS(H224-I224))</f>
        <v/>
      </c>
      <c r="AB224" s="23" t="str">
        <f aca="false">IF(U224&lt;&gt;"Closed","",(N(L224)*N(M224)+N(N224)*N(O224)+Y224*Q224)/G224)</f>
        <v/>
      </c>
      <c r="AC224" s="24" t="str">
        <f aca="false">IF(U224&lt;&gt;"Closed","",IF($B224="Short",-1,1)*((N(M224)-H224)*N(L224)+(N(O224)-H224)*N(N224)+(Q224-H224)*Y224)-N(R224))</f>
        <v/>
      </c>
      <c r="AD224" s="25" t="str">
        <f aca="false">IF(OR(AC224="",N(Z224)=0),"",AC224/Z224)</f>
        <v/>
      </c>
      <c r="AE224" s="25" t="str">
        <f aca="false">IF(OR(S224="",N(Z224)=0),"",IF($B224="Short",-1,1)*(S224-H224)*G224/Z224)</f>
        <v/>
      </c>
      <c r="AF224" s="25" t="str">
        <f aca="false">IF(OR(T224="",N(Z224)=0),"",IF($B224="Short",-1,1)*(T224-H224)*G224/Z224)</f>
        <v/>
      </c>
      <c r="AG224" s="21" t="str">
        <f aca="false">IF(U224&lt;&gt;"Open","",Y224*MAX(0,IF($B224="Short",-1,1)*(H224-IF(K224="",I224,K224))))</f>
        <v/>
      </c>
      <c r="AH224" s="26" t="str">
        <f aca="false">IF(U224&lt;&gt;"Closed","",DATE(YEAR(P224),MONTH(P224),1))</f>
        <v/>
      </c>
      <c r="AI224" s="19" t="str">
        <f aca="false">IF(U224&lt;&gt;"Closed","",COUNTIFS($U$7:$U$506,"Closed",$P$7:$P$506,"&lt;"&amp;P224)+COUNTIFS($U$7:U224,"Closed",$P$7:P224,P224))</f>
        <v/>
      </c>
    </row>
    <row r="225" customFormat="false" ht="15" hidden="false" customHeight="false" outlineLevel="0" collapsed="false">
      <c r="A225" s="13"/>
      <c r="B225" s="48"/>
      <c r="C225" s="48"/>
      <c r="D225" s="48"/>
      <c r="E225" s="15"/>
      <c r="F225" s="15"/>
      <c r="G225" s="16"/>
      <c r="H225" s="17"/>
      <c r="I225" s="17"/>
      <c r="J225" s="17"/>
      <c r="K225" s="17"/>
      <c r="L225" s="16"/>
      <c r="M225" s="17"/>
      <c r="N225" s="16"/>
      <c r="O225" s="17"/>
      <c r="P225" s="15"/>
      <c r="Q225" s="17"/>
      <c r="R225" s="17"/>
      <c r="S225" s="17"/>
      <c r="T225" s="17"/>
      <c r="U225" s="18" t="str">
        <f aca="false">IF(A225="","",IF(N(G225)-N(L225)-N(N225)&lt;0,"Check shares",IF(AND(P225&lt;&gt;"",Q225&lt;&gt;""),"Closed","Open")))</f>
        <v/>
      </c>
      <c r="V225" s="19" t="str">
        <f aca="false">IF(OR(F225="",P225=""),"",NETWORKDAYS(F225,P225,Lists!$F$5:$F$40)-1)</f>
        <v/>
      </c>
      <c r="W225" s="18" t="str">
        <f aca="false">IF(V225="","",IF(V225=0,"Same day","Overnight"))</f>
        <v/>
      </c>
      <c r="X225" s="18" t="str">
        <f aca="false">IF(OR(E225="",F225=""),"",IF(AND(E225&gt;=F225,OR(P225="",E225&lt;=P225)),"Yes","No"))</f>
        <v/>
      </c>
      <c r="Y225" s="20" t="str">
        <f aca="false">IF(A225="","",N(G225)-N(L225)-N(N225))</f>
        <v/>
      </c>
      <c r="Z225" s="21" t="str">
        <f aca="false">IF(OR(G225="",H225="",I225=""),"",ABS(H225-I225)*G225)</f>
        <v/>
      </c>
      <c r="AA225" s="22" t="str">
        <f aca="false">IF(OR(J225="",N(Z225)=0),"",ABS(J225-H225)/ABS(H225-I225))</f>
        <v/>
      </c>
      <c r="AB225" s="23" t="str">
        <f aca="false">IF(U225&lt;&gt;"Closed","",(N(L225)*N(M225)+N(N225)*N(O225)+Y225*Q225)/G225)</f>
        <v/>
      </c>
      <c r="AC225" s="24" t="str">
        <f aca="false">IF(U225&lt;&gt;"Closed","",IF($B225="Short",-1,1)*((N(M225)-H225)*N(L225)+(N(O225)-H225)*N(N225)+(Q225-H225)*Y225)-N(R225))</f>
        <v/>
      </c>
      <c r="AD225" s="25" t="str">
        <f aca="false">IF(OR(AC225="",N(Z225)=0),"",AC225/Z225)</f>
        <v/>
      </c>
      <c r="AE225" s="25" t="str">
        <f aca="false">IF(OR(S225="",N(Z225)=0),"",IF($B225="Short",-1,1)*(S225-H225)*G225/Z225)</f>
        <v/>
      </c>
      <c r="AF225" s="25" t="str">
        <f aca="false">IF(OR(T225="",N(Z225)=0),"",IF($B225="Short",-1,1)*(T225-H225)*G225/Z225)</f>
        <v/>
      </c>
      <c r="AG225" s="21" t="str">
        <f aca="false">IF(U225&lt;&gt;"Open","",Y225*MAX(0,IF($B225="Short",-1,1)*(H225-IF(K225="",I225,K225))))</f>
        <v/>
      </c>
      <c r="AH225" s="26" t="str">
        <f aca="false">IF(U225&lt;&gt;"Closed","",DATE(YEAR(P225),MONTH(P225),1))</f>
        <v/>
      </c>
      <c r="AI225" s="19" t="str">
        <f aca="false">IF(U225&lt;&gt;"Closed","",COUNTIFS($U$7:$U$506,"Closed",$P$7:$P$506,"&lt;"&amp;P225)+COUNTIFS($U$7:U225,"Closed",$P$7:P225,P225))</f>
        <v/>
      </c>
    </row>
    <row r="226" customFormat="false" ht="15" hidden="false" customHeight="false" outlineLevel="0" collapsed="false">
      <c r="A226" s="13"/>
      <c r="B226" s="48"/>
      <c r="C226" s="48"/>
      <c r="D226" s="48"/>
      <c r="E226" s="15"/>
      <c r="F226" s="15"/>
      <c r="G226" s="16"/>
      <c r="H226" s="17"/>
      <c r="I226" s="17"/>
      <c r="J226" s="17"/>
      <c r="K226" s="17"/>
      <c r="L226" s="16"/>
      <c r="M226" s="17"/>
      <c r="N226" s="16"/>
      <c r="O226" s="17"/>
      <c r="P226" s="15"/>
      <c r="Q226" s="17"/>
      <c r="R226" s="17"/>
      <c r="S226" s="17"/>
      <c r="T226" s="17"/>
      <c r="U226" s="18" t="str">
        <f aca="false">IF(A226="","",IF(N(G226)-N(L226)-N(N226)&lt;0,"Check shares",IF(AND(P226&lt;&gt;"",Q226&lt;&gt;""),"Closed","Open")))</f>
        <v/>
      </c>
      <c r="V226" s="19" t="str">
        <f aca="false">IF(OR(F226="",P226=""),"",NETWORKDAYS(F226,P226,Lists!$F$5:$F$40)-1)</f>
        <v/>
      </c>
      <c r="W226" s="18" t="str">
        <f aca="false">IF(V226="","",IF(V226=0,"Same day","Overnight"))</f>
        <v/>
      </c>
      <c r="X226" s="18" t="str">
        <f aca="false">IF(OR(E226="",F226=""),"",IF(AND(E226&gt;=F226,OR(P226="",E226&lt;=P226)),"Yes","No"))</f>
        <v/>
      </c>
      <c r="Y226" s="20" t="str">
        <f aca="false">IF(A226="","",N(G226)-N(L226)-N(N226))</f>
        <v/>
      </c>
      <c r="Z226" s="21" t="str">
        <f aca="false">IF(OR(G226="",H226="",I226=""),"",ABS(H226-I226)*G226)</f>
        <v/>
      </c>
      <c r="AA226" s="22" t="str">
        <f aca="false">IF(OR(J226="",N(Z226)=0),"",ABS(J226-H226)/ABS(H226-I226))</f>
        <v/>
      </c>
      <c r="AB226" s="23" t="str">
        <f aca="false">IF(U226&lt;&gt;"Closed","",(N(L226)*N(M226)+N(N226)*N(O226)+Y226*Q226)/G226)</f>
        <v/>
      </c>
      <c r="AC226" s="24" t="str">
        <f aca="false">IF(U226&lt;&gt;"Closed","",IF($B226="Short",-1,1)*((N(M226)-H226)*N(L226)+(N(O226)-H226)*N(N226)+(Q226-H226)*Y226)-N(R226))</f>
        <v/>
      </c>
      <c r="AD226" s="25" t="str">
        <f aca="false">IF(OR(AC226="",N(Z226)=0),"",AC226/Z226)</f>
        <v/>
      </c>
      <c r="AE226" s="25" t="str">
        <f aca="false">IF(OR(S226="",N(Z226)=0),"",IF($B226="Short",-1,1)*(S226-H226)*G226/Z226)</f>
        <v/>
      </c>
      <c r="AF226" s="25" t="str">
        <f aca="false">IF(OR(T226="",N(Z226)=0),"",IF($B226="Short",-1,1)*(T226-H226)*G226/Z226)</f>
        <v/>
      </c>
      <c r="AG226" s="21" t="str">
        <f aca="false">IF(U226&lt;&gt;"Open","",Y226*MAX(0,IF($B226="Short",-1,1)*(H226-IF(K226="",I226,K226))))</f>
        <v/>
      </c>
      <c r="AH226" s="26" t="str">
        <f aca="false">IF(U226&lt;&gt;"Closed","",DATE(YEAR(P226),MONTH(P226),1))</f>
        <v/>
      </c>
      <c r="AI226" s="19" t="str">
        <f aca="false">IF(U226&lt;&gt;"Closed","",COUNTIFS($U$7:$U$506,"Closed",$P$7:$P$506,"&lt;"&amp;P226)+COUNTIFS($U$7:U226,"Closed",$P$7:P226,P226))</f>
        <v/>
      </c>
    </row>
    <row r="227" customFormat="false" ht="15" hidden="false" customHeight="false" outlineLevel="0" collapsed="false">
      <c r="A227" s="13"/>
      <c r="B227" s="48"/>
      <c r="C227" s="48"/>
      <c r="D227" s="48"/>
      <c r="E227" s="15"/>
      <c r="F227" s="15"/>
      <c r="G227" s="16"/>
      <c r="H227" s="17"/>
      <c r="I227" s="17"/>
      <c r="J227" s="17"/>
      <c r="K227" s="17"/>
      <c r="L227" s="16"/>
      <c r="M227" s="17"/>
      <c r="N227" s="16"/>
      <c r="O227" s="17"/>
      <c r="P227" s="15"/>
      <c r="Q227" s="17"/>
      <c r="R227" s="17"/>
      <c r="S227" s="17"/>
      <c r="T227" s="17"/>
      <c r="U227" s="18" t="str">
        <f aca="false">IF(A227="","",IF(N(G227)-N(L227)-N(N227)&lt;0,"Check shares",IF(AND(P227&lt;&gt;"",Q227&lt;&gt;""),"Closed","Open")))</f>
        <v/>
      </c>
      <c r="V227" s="19" t="str">
        <f aca="false">IF(OR(F227="",P227=""),"",NETWORKDAYS(F227,P227,Lists!$F$5:$F$40)-1)</f>
        <v/>
      </c>
      <c r="W227" s="18" t="str">
        <f aca="false">IF(V227="","",IF(V227=0,"Same day","Overnight"))</f>
        <v/>
      </c>
      <c r="X227" s="18" t="str">
        <f aca="false">IF(OR(E227="",F227=""),"",IF(AND(E227&gt;=F227,OR(P227="",E227&lt;=P227)),"Yes","No"))</f>
        <v/>
      </c>
      <c r="Y227" s="20" t="str">
        <f aca="false">IF(A227="","",N(G227)-N(L227)-N(N227))</f>
        <v/>
      </c>
      <c r="Z227" s="21" t="str">
        <f aca="false">IF(OR(G227="",H227="",I227=""),"",ABS(H227-I227)*G227)</f>
        <v/>
      </c>
      <c r="AA227" s="22" t="str">
        <f aca="false">IF(OR(J227="",N(Z227)=0),"",ABS(J227-H227)/ABS(H227-I227))</f>
        <v/>
      </c>
      <c r="AB227" s="23" t="str">
        <f aca="false">IF(U227&lt;&gt;"Closed","",(N(L227)*N(M227)+N(N227)*N(O227)+Y227*Q227)/G227)</f>
        <v/>
      </c>
      <c r="AC227" s="24" t="str">
        <f aca="false">IF(U227&lt;&gt;"Closed","",IF($B227="Short",-1,1)*((N(M227)-H227)*N(L227)+(N(O227)-H227)*N(N227)+(Q227-H227)*Y227)-N(R227))</f>
        <v/>
      </c>
      <c r="AD227" s="25" t="str">
        <f aca="false">IF(OR(AC227="",N(Z227)=0),"",AC227/Z227)</f>
        <v/>
      </c>
      <c r="AE227" s="25" t="str">
        <f aca="false">IF(OR(S227="",N(Z227)=0),"",IF($B227="Short",-1,1)*(S227-H227)*G227/Z227)</f>
        <v/>
      </c>
      <c r="AF227" s="25" t="str">
        <f aca="false">IF(OR(T227="",N(Z227)=0),"",IF($B227="Short",-1,1)*(T227-H227)*G227/Z227)</f>
        <v/>
      </c>
      <c r="AG227" s="21" t="str">
        <f aca="false">IF(U227&lt;&gt;"Open","",Y227*MAX(0,IF($B227="Short",-1,1)*(H227-IF(K227="",I227,K227))))</f>
        <v/>
      </c>
      <c r="AH227" s="26" t="str">
        <f aca="false">IF(U227&lt;&gt;"Closed","",DATE(YEAR(P227),MONTH(P227),1))</f>
        <v/>
      </c>
      <c r="AI227" s="19" t="str">
        <f aca="false">IF(U227&lt;&gt;"Closed","",COUNTIFS($U$7:$U$506,"Closed",$P$7:$P$506,"&lt;"&amp;P227)+COUNTIFS($U$7:U227,"Closed",$P$7:P227,P227))</f>
        <v/>
      </c>
    </row>
    <row r="228" customFormat="false" ht="15" hidden="false" customHeight="false" outlineLevel="0" collapsed="false">
      <c r="A228" s="13"/>
      <c r="B228" s="48"/>
      <c r="C228" s="48"/>
      <c r="D228" s="48"/>
      <c r="E228" s="15"/>
      <c r="F228" s="15"/>
      <c r="G228" s="16"/>
      <c r="H228" s="17"/>
      <c r="I228" s="17"/>
      <c r="J228" s="17"/>
      <c r="K228" s="17"/>
      <c r="L228" s="16"/>
      <c r="M228" s="17"/>
      <c r="N228" s="16"/>
      <c r="O228" s="17"/>
      <c r="P228" s="15"/>
      <c r="Q228" s="17"/>
      <c r="R228" s="17"/>
      <c r="S228" s="17"/>
      <c r="T228" s="17"/>
      <c r="U228" s="18" t="str">
        <f aca="false">IF(A228="","",IF(N(G228)-N(L228)-N(N228)&lt;0,"Check shares",IF(AND(P228&lt;&gt;"",Q228&lt;&gt;""),"Closed","Open")))</f>
        <v/>
      </c>
      <c r="V228" s="19" t="str">
        <f aca="false">IF(OR(F228="",P228=""),"",NETWORKDAYS(F228,P228,Lists!$F$5:$F$40)-1)</f>
        <v/>
      </c>
      <c r="W228" s="18" t="str">
        <f aca="false">IF(V228="","",IF(V228=0,"Same day","Overnight"))</f>
        <v/>
      </c>
      <c r="X228" s="18" t="str">
        <f aca="false">IF(OR(E228="",F228=""),"",IF(AND(E228&gt;=F228,OR(P228="",E228&lt;=P228)),"Yes","No"))</f>
        <v/>
      </c>
      <c r="Y228" s="20" t="str">
        <f aca="false">IF(A228="","",N(G228)-N(L228)-N(N228))</f>
        <v/>
      </c>
      <c r="Z228" s="21" t="str">
        <f aca="false">IF(OR(G228="",H228="",I228=""),"",ABS(H228-I228)*G228)</f>
        <v/>
      </c>
      <c r="AA228" s="22" t="str">
        <f aca="false">IF(OR(J228="",N(Z228)=0),"",ABS(J228-H228)/ABS(H228-I228))</f>
        <v/>
      </c>
      <c r="AB228" s="23" t="str">
        <f aca="false">IF(U228&lt;&gt;"Closed","",(N(L228)*N(M228)+N(N228)*N(O228)+Y228*Q228)/G228)</f>
        <v/>
      </c>
      <c r="AC228" s="24" t="str">
        <f aca="false">IF(U228&lt;&gt;"Closed","",IF($B228="Short",-1,1)*((N(M228)-H228)*N(L228)+(N(O228)-H228)*N(N228)+(Q228-H228)*Y228)-N(R228))</f>
        <v/>
      </c>
      <c r="AD228" s="25" t="str">
        <f aca="false">IF(OR(AC228="",N(Z228)=0),"",AC228/Z228)</f>
        <v/>
      </c>
      <c r="AE228" s="25" t="str">
        <f aca="false">IF(OR(S228="",N(Z228)=0),"",IF($B228="Short",-1,1)*(S228-H228)*G228/Z228)</f>
        <v/>
      </c>
      <c r="AF228" s="25" t="str">
        <f aca="false">IF(OR(T228="",N(Z228)=0),"",IF($B228="Short",-1,1)*(T228-H228)*G228/Z228)</f>
        <v/>
      </c>
      <c r="AG228" s="21" t="str">
        <f aca="false">IF(U228&lt;&gt;"Open","",Y228*MAX(0,IF($B228="Short",-1,1)*(H228-IF(K228="",I228,K228))))</f>
        <v/>
      </c>
      <c r="AH228" s="26" t="str">
        <f aca="false">IF(U228&lt;&gt;"Closed","",DATE(YEAR(P228),MONTH(P228),1))</f>
        <v/>
      </c>
      <c r="AI228" s="19" t="str">
        <f aca="false">IF(U228&lt;&gt;"Closed","",COUNTIFS($U$7:$U$506,"Closed",$P$7:$P$506,"&lt;"&amp;P228)+COUNTIFS($U$7:U228,"Closed",$P$7:P228,P228))</f>
        <v/>
      </c>
    </row>
    <row r="229" customFormat="false" ht="15" hidden="false" customHeight="false" outlineLevel="0" collapsed="false">
      <c r="A229" s="13"/>
      <c r="B229" s="48"/>
      <c r="C229" s="48"/>
      <c r="D229" s="48"/>
      <c r="E229" s="15"/>
      <c r="F229" s="15"/>
      <c r="G229" s="16"/>
      <c r="H229" s="17"/>
      <c r="I229" s="17"/>
      <c r="J229" s="17"/>
      <c r="K229" s="17"/>
      <c r="L229" s="16"/>
      <c r="M229" s="17"/>
      <c r="N229" s="16"/>
      <c r="O229" s="17"/>
      <c r="P229" s="15"/>
      <c r="Q229" s="17"/>
      <c r="R229" s="17"/>
      <c r="S229" s="17"/>
      <c r="T229" s="17"/>
      <c r="U229" s="18" t="str">
        <f aca="false">IF(A229="","",IF(N(G229)-N(L229)-N(N229)&lt;0,"Check shares",IF(AND(P229&lt;&gt;"",Q229&lt;&gt;""),"Closed","Open")))</f>
        <v/>
      </c>
      <c r="V229" s="19" t="str">
        <f aca="false">IF(OR(F229="",P229=""),"",NETWORKDAYS(F229,P229,Lists!$F$5:$F$40)-1)</f>
        <v/>
      </c>
      <c r="W229" s="18" t="str">
        <f aca="false">IF(V229="","",IF(V229=0,"Same day","Overnight"))</f>
        <v/>
      </c>
      <c r="X229" s="18" t="str">
        <f aca="false">IF(OR(E229="",F229=""),"",IF(AND(E229&gt;=F229,OR(P229="",E229&lt;=P229)),"Yes","No"))</f>
        <v/>
      </c>
      <c r="Y229" s="20" t="str">
        <f aca="false">IF(A229="","",N(G229)-N(L229)-N(N229))</f>
        <v/>
      </c>
      <c r="Z229" s="21" t="str">
        <f aca="false">IF(OR(G229="",H229="",I229=""),"",ABS(H229-I229)*G229)</f>
        <v/>
      </c>
      <c r="AA229" s="22" t="str">
        <f aca="false">IF(OR(J229="",N(Z229)=0),"",ABS(J229-H229)/ABS(H229-I229))</f>
        <v/>
      </c>
      <c r="AB229" s="23" t="str">
        <f aca="false">IF(U229&lt;&gt;"Closed","",(N(L229)*N(M229)+N(N229)*N(O229)+Y229*Q229)/G229)</f>
        <v/>
      </c>
      <c r="AC229" s="24" t="str">
        <f aca="false">IF(U229&lt;&gt;"Closed","",IF($B229="Short",-1,1)*((N(M229)-H229)*N(L229)+(N(O229)-H229)*N(N229)+(Q229-H229)*Y229)-N(R229))</f>
        <v/>
      </c>
      <c r="AD229" s="25" t="str">
        <f aca="false">IF(OR(AC229="",N(Z229)=0),"",AC229/Z229)</f>
        <v/>
      </c>
      <c r="AE229" s="25" t="str">
        <f aca="false">IF(OR(S229="",N(Z229)=0),"",IF($B229="Short",-1,1)*(S229-H229)*G229/Z229)</f>
        <v/>
      </c>
      <c r="AF229" s="25" t="str">
        <f aca="false">IF(OR(T229="",N(Z229)=0),"",IF($B229="Short",-1,1)*(T229-H229)*G229/Z229)</f>
        <v/>
      </c>
      <c r="AG229" s="21" t="str">
        <f aca="false">IF(U229&lt;&gt;"Open","",Y229*MAX(0,IF($B229="Short",-1,1)*(H229-IF(K229="",I229,K229))))</f>
        <v/>
      </c>
      <c r="AH229" s="26" t="str">
        <f aca="false">IF(U229&lt;&gt;"Closed","",DATE(YEAR(P229),MONTH(P229),1))</f>
        <v/>
      </c>
      <c r="AI229" s="19" t="str">
        <f aca="false">IF(U229&lt;&gt;"Closed","",COUNTIFS($U$7:$U$506,"Closed",$P$7:$P$506,"&lt;"&amp;P229)+COUNTIFS($U$7:U229,"Closed",$P$7:P229,P229))</f>
        <v/>
      </c>
    </row>
    <row r="230" customFormat="false" ht="15" hidden="false" customHeight="false" outlineLevel="0" collapsed="false">
      <c r="A230" s="13"/>
      <c r="B230" s="48"/>
      <c r="C230" s="48"/>
      <c r="D230" s="48"/>
      <c r="E230" s="15"/>
      <c r="F230" s="15"/>
      <c r="G230" s="16"/>
      <c r="H230" s="17"/>
      <c r="I230" s="17"/>
      <c r="J230" s="17"/>
      <c r="K230" s="17"/>
      <c r="L230" s="16"/>
      <c r="M230" s="17"/>
      <c r="N230" s="16"/>
      <c r="O230" s="17"/>
      <c r="P230" s="15"/>
      <c r="Q230" s="17"/>
      <c r="R230" s="17"/>
      <c r="S230" s="17"/>
      <c r="T230" s="17"/>
      <c r="U230" s="18" t="str">
        <f aca="false">IF(A230="","",IF(N(G230)-N(L230)-N(N230)&lt;0,"Check shares",IF(AND(P230&lt;&gt;"",Q230&lt;&gt;""),"Closed","Open")))</f>
        <v/>
      </c>
      <c r="V230" s="19" t="str">
        <f aca="false">IF(OR(F230="",P230=""),"",NETWORKDAYS(F230,P230,Lists!$F$5:$F$40)-1)</f>
        <v/>
      </c>
      <c r="W230" s="18" t="str">
        <f aca="false">IF(V230="","",IF(V230=0,"Same day","Overnight"))</f>
        <v/>
      </c>
      <c r="X230" s="18" t="str">
        <f aca="false">IF(OR(E230="",F230=""),"",IF(AND(E230&gt;=F230,OR(P230="",E230&lt;=P230)),"Yes","No"))</f>
        <v/>
      </c>
      <c r="Y230" s="20" t="str">
        <f aca="false">IF(A230="","",N(G230)-N(L230)-N(N230))</f>
        <v/>
      </c>
      <c r="Z230" s="21" t="str">
        <f aca="false">IF(OR(G230="",H230="",I230=""),"",ABS(H230-I230)*G230)</f>
        <v/>
      </c>
      <c r="AA230" s="22" t="str">
        <f aca="false">IF(OR(J230="",N(Z230)=0),"",ABS(J230-H230)/ABS(H230-I230))</f>
        <v/>
      </c>
      <c r="AB230" s="23" t="str">
        <f aca="false">IF(U230&lt;&gt;"Closed","",(N(L230)*N(M230)+N(N230)*N(O230)+Y230*Q230)/G230)</f>
        <v/>
      </c>
      <c r="AC230" s="24" t="str">
        <f aca="false">IF(U230&lt;&gt;"Closed","",IF($B230="Short",-1,1)*((N(M230)-H230)*N(L230)+(N(O230)-H230)*N(N230)+(Q230-H230)*Y230)-N(R230))</f>
        <v/>
      </c>
      <c r="AD230" s="25" t="str">
        <f aca="false">IF(OR(AC230="",N(Z230)=0),"",AC230/Z230)</f>
        <v/>
      </c>
      <c r="AE230" s="25" t="str">
        <f aca="false">IF(OR(S230="",N(Z230)=0),"",IF($B230="Short",-1,1)*(S230-H230)*G230/Z230)</f>
        <v/>
      </c>
      <c r="AF230" s="25" t="str">
        <f aca="false">IF(OR(T230="",N(Z230)=0),"",IF($B230="Short",-1,1)*(T230-H230)*G230/Z230)</f>
        <v/>
      </c>
      <c r="AG230" s="21" t="str">
        <f aca="false">IF(U230&lt;&gt;"Open","",Y230*MAX(0,IF($B230="Short",-1,1)*(H230-IF(K230="",I230,K230))))</f>
        <v/>
      </c>
      <c r="AH230" s="26" t="str">
        <f aca="false">IF(U230&lt;&gt;"Closed","",DATE(YEAR(P230),MONTH(P230),1))</f>
        <v/>
      </c>
      <c r="AI230" s="19" t="str">
        <f aca="false">IF(U230&lt;&gt;"Closed","",COUNTIFS($U$7:$U$506,"Closed",$P$7:$P$506,"&lt;"&amp;P230)+COUNTIFS($U$7:U230,"Closed",$P$7:P230,P230))</f>
        <v/>
      </c>
    </row>
    <row r="231" customFormat="false" ht="15" hidden="false" customHeight="false" outlineLevel="0" collapsed="false">
      <c r="A231" s="13"/>
      <c r="B231" s="48"/>
      <c r="C231" s="48"/>
      <c r="D231" s="48"/>
      <c r="E231" s="15"/>
      <c r="F231" s="15"/>
      <c r="G231" s="16"/>
      <c r="H231" s="17"/>
      <c r="I231" s="17"/>
      <c r="J231" s="17"/>
      <c r="K231" s="17"/>
      <c r="L231" s="16"/>
      <c r="M231" s="17"/>
      <c r="N231" s="16"/>
      <c r="O231" s="17"/>
      <c r="P231" s="15"/>
      <c r="Q231" s="17"/>
      <c r="R231" s="17"/>
      <c r="S231" s="17"/>
      <c r="T231" s="17"/>
      <c r="U231" s="18" t="str">
        <f aca="false">IF(A231="","",IF(N(G231)-N(L231)-N(N231)&lt;0,"Check shares",IF(AND(P231&lt;&gt;"",Q231&lt;&gt;""),"Closed","Open")))</f>
        <v/>
      </c>
      <c r="V231" s="19" t="str">
        <f aca="false">IF(OR(F231="",P231=""),"",NETWORKDAYS(F231,P231,Lists!$F$5:$F$40)-1)</f>
        <v/>
      </c>
      <c r="W231" s="18" t="str">
        <f aca="false">IF(V231="","",IF(V231=0,"Same day","Overnight"))</f>
        <v/>
      </c>
      <c r="X231" s="18" t="str">
        <f aca="false">IF(OR(E231="",F231=""),"",IF(AND(E231&gt;=F231,OR(P231="",E231&lt;=P231)),"Yes","No"))</f>
        <v/>
      </c>
      <c r="Y231" s="20" t="str">
        <f aca="false">IF(A231="","",N(G231)-N(L231)-N(N231))</f>
        <v/>
      </c>
      <c r="Z231" s="21" t="str">
        <f aca="false">IF(OR(G231="",H231="",I231=""),"",ABS(H231-I231)*G231)</f>
        <v/>
      </c>
      <c r="AA231" s="22" t="str">
        <f aca="false">IF(OR(J231="",N(Z231)=0),"",ABS(J231-H231)/ABS(H231-I231))</f>
        <v/>
      </c>
      <c r="AB231" s="23" t="str">
        <f aca="false">IF(U231&lt;&gt;"Closed","",(N(L231)*N(M231)+N(N231)*N(O231)+Y231*Q231)/G231)</f>
        <v/>
      </c>
      <c r="AC231" s="24" t="str">
        <f aca="false">IF(U231&lt;&gt;"Closed","",IF($B231="Short",-1,1)*((N(M231)-H231)*N(L231)+(N(O231)-H231)*N(N231)+(Q231-H231)*Y231)-N(R231))</f>
        <v/>
      </c>
      <c r="AD231" s="25" t="str">
        <f aca="false">IF(OR(AC231="",N(Z231)=0),"",AC231/Z231)</f>
        <v/>
      </c>
      <c r="AE231" s="25" t="str">
        <f aca="false">IF(OR(S231="",N(Z231)=0),"",IF($B231="Short",-1,1)*(S231-H231)*G231/Z231)</f>
        <v/>
      </c>
      <c r="AF231" s="25" t="str">
        <f aca="false">IF(OR(T231="",N(Z231)=0),"",IF($B231="Short",-1,1)*(T231-H231)*G231/Z231)</f>
        <v/>
      </c>
      <c r="AG231" s="21" t="str">
        <f aca="false">IF(U231&lt;&gt;"Open","",Y231*MAX(0,IF($B231="Short",-1,1)*(H231-IF(K231="",I231,K231))))</f>
        <v/>
      </c>
      <c r="AH231" s="26" t="str">
        <f aca="false">IF(U231&lt;&gt;"Closed","",DATE(YEAR(P231),MONTH(P231),1))</f>
        <v/>
      </c>
      <c r="AI231" s="19" t="str">
        <f aca="false">IF(U231&lt;&gt;"Closed","",COUNTIFS($U$7:$U$506,"Closed",$P$7:$P$506,"&lt;"&amp;P231)+COUNTIFS($U$7:U231,"Closed",$P$7:P231,P231))</f>
        <v/>
      </c>
    </row>
    <row r="232" customFormat="false" ht="15" hidden="false" customHeight="false" outlineLevel="0" collapsed="false">
      <c r="A232" s="13"/>
      <c r="B232" s="48"/>
      <c r="C232" s="48"/>
      <c r="D232" s="48"/>
      <c r="E232" s="15"/>
      <c r="F232" s="15"/>
      <c r="G232" s="16"/>
      <c r="H232" s="17"/>
      <c r="I232" s="17"/>
      <c r="J232" s="17"/>
      <c r="K232" s="17"/>
      <c r="L232" s="16"/>
      <c r="M232" s="17"/>
      <c r="N232" s="16"/>
      <c r="O232" s="17"/>
      <c r="P232" s="15"/>
      <c r="Q232" s="17"/>
      <c r="R232" s="17"/>
      <c r="S232" s="17"/>
      <c r="T232" s="17"/>
      <c r="U232" s="18" t="str">
        <f aca="false">IF(A232="","",IF(N(G232)-N(L232)-N(N232)&lt;0,"Check shares",IF(AND(P232&lt;&gt;"",Q232&lt;&gt;""),"Closed","Open")))</f>
        <v/>
      </c>
      <c r="V232" s="19" t="str">
        <f aca="false">IF(OR(F232="",P232=""),"",NETWORKDAYS(F232,P232,Lists!$F$5:$F$40)-1)</f>
        <v/>
      </c>
      <c r="W232" s="18" t="str">
        <f aca="false">IF(V232="","",IF(V232=0,"Same day","Overnight"))</f>
        <v/>
      </c>
      <c r="X232" s="18" t="str">
        <f aca="false">IF(OR(E232="",F232=""),"",IF(AND(E232&gt;=F232,OR(P232="",E232&lt;=P232)),"Yes","No"))</f>
        <v/>
      </c>
      <c r="Y232" s="20" t="str">
        <f aca="false">IF(A232="","",N(G232)-N(L232)-N(N232))</f>
        <v/>
      </c>
      <c r="Z232" s="21" t="str">
        <f aca="false">IF(OR(G232="",H232="",I232=""),"",ABS(H232-I232)*G232)</f>
        <v/>
      </c>
      <c r="AA232" s="22" t="str">
        <f aca="false">IF(OR(J232="",N(Z232)=0),"",ABS(J232-H232)/ABS(H232-I232))</f>
        <v/>
      </c>
      <c r="AB232" s="23" t="str">
        <f aca="false">IF(U232&lt;&gt;"Closed","",(N(L232)*N(M232)+N(N232)*N(O232)+Y232*Q232)/G232)</f>
        <v/>
      </c>
      <c r="AC232" s="24" t="str">
        <f aca="false">IF(U232&lt;&gt;"Closed","",IF($B232="Short",-1,1)*((N(M232)-H232)*N(L232)+(N(O232)-H232)*N(N232)+(Q232-H232)*Y232)-N(R232))</f>
        <v/>
      </c>
      <c r="AD232" s="25" t="str">
        <f aca="false">IF(OR(AC232="",N(Z232)=0),"",AC232/Z232)</f>
        <v/>
      </c>
      <c r="AE232" s="25" t="str">
        <f aca="false">IF(OR(S232="",N(Z232)=0),"",IF($B232="Short",-1,1)*(S232-H232)*G232/Z232)</f>
        <v/>
      </c>
      <c r="AF232" s="25" t="str">
        <f aca="false">IF(OR(T232="",N(Z232)=0),"",IF($B232="Short",-1,1)*(T232-H232)*G232/Z232)</f>
        <v/>
      </c>
      <c r="AG232" s="21" t="str">
        <f aca="false">IF(U232&lt;&gt;"Open","",Y232*MAX(0,IF($B232="Short",-1,1)*(H232-IF(K232="",I232,K232))))</f>
        <v/>
      </c>
      <c r="AH232" s="26" t="str">
        <f aca="false">IF(U232&lt;&gt;"Closed","",DATE(YEAR(P232),MONTH(P232),1))</f>
        <v/>
      </c>
      <c r="AI232" s="19" t="str">
        <f aca="false">IF(U232&lt;&gt;"Closed","",COUNTIFS($U$7:$U$506,"Closed",$P$7:$P$506,"&lt;"&amp;P232)+COUNTIFS($U$7:U232,"Closed",$P$7:P232,P232))</f>
        <v/>
      </c>
    </row>
    <row r="233" customFormat="false" ht="15" hidden="false" customHeight="false" outlineLevel="0" collapsed="false">
      <c r="A233" s="13"/>
      <c r="B233" s="48"/>
      <c r="C233" s="48"/>
      <c r="D233" s="48"/>
      <c r="E233" s="15"/>
      <c r="F233" s="15"/>
      <c r="G233" s="16"/>
      <c r="H233" s="17"/>
      <c r="I233" s="17"/>
      <c r="J233" s="17"/>
      <c r="K233" s="17"/>
      <c r="L233" s="16"/>
      <c r="M233" s="17"/>
      <c r="N233" s="16"/>
      <c r="O233" s="17"/>
      <c r="P233" s="15"/>
      <c r="Q233" s="17"/>
      <c r="R233" s="17"/>
      <c r="S233" s="17"/>
      <c r="T233" s="17"/>
      <c r="U233" s="18" t="str">
        <f aca="false">IF(A233="","",IF(N(G233)-N(L233)-N(N233)&lt;0,"Check shares",IF(AND(P233&lt;&gt;"",Q233&lt;&gt;""),"Closed","Open")))</f>
        <v/>
      </c>
      <c r="V233" s="19" t="str">
        <f aca="false">IF(OR(F233="",P233=""),"",NETWORKDAYS(F233,P233,Lists!$F$5:$F$40)-1)</f>
        <v/>
      </c>
      <c r="W233" s="18" t="str">
        <f aca="false">IF(V233="","",IF(V233=0,"Same day","Overnight"))</f>
        <v/>
      </c>
      <c r="X233" s="18" t="str">
        <f aca="false">IF(OR(E233="",F233=""),"",IF(AND(E233&gt;=F233,OR(P233="",E233&lt;=P233)),"Yes","No"))</f>
        <v/>
      </c>
      <c r="Y233" s="20" t="str">
        <f aca="false">IF(A233="","",N(G233)-N(L233)-N(N233))</f>
        <v/>
      </c>
      <c r="Z233" s="21" t="str">
        <f aca="false">IF(OR(G233="",H233="",I233=""),"",ABS(H233-I233)*G233)</f>
        <v/>
      </c>
      <c r="AA233" s="22" t="str">
        <f aca="false">IF(OR(J233="",N(Z233)=0),"",ABS(J233-H233)/ABS(H233-I233))</f>
        <v/>
      </c>
      <c r="AB233" s="23" t="str">
        <f aca="false">IF(U233&lt;&gt;"Closed","",(N(L233)*N(M233)+N(N233)*N(O233)+Y233*Q233)/G233)</f>
        <v/>
      </c>
      <c r="AC233" s="24" t="str">
        <f aca="false">IF(U233&lt;&gt;"Closed","",IF($B233="Short",-1,1)*((N(M233)-H233)*N(L233)+(N(O233)-H233)*N(N233)+(Q233-H233)*Y233)-N(R233))</f>
        <v/>
      </c>
      <c r="AD233" s="25" t="str">
        <f aca="false">IF(OR(AC233="",N(Z233)=0),"",AC233/Z233)</f>
        <v/>
      </c>
      <c r="AE233" s="25" t="str">
        <f aca="false">IF(OR(S233="",N(Z233)=0),"",IF($B233="Short",-1,1)*(S233-H233)*G233/Z233)</f>
        <v/>
      </c>
      <c r="AF233" s="25" t="str">
        <f aca="false">IF(OR(T233="",N(Z233)=0),"",IF($B233="Short",-1,1)*(T233-H233)*G233/Z233)</f>
        <v/>
      </c>
      <c r="AG233" s="21" t="str">
        <f aca="false">IF(U233&lt;&gt;"Open","",Y233*MAX(0,IF($B233="Short",-1,1)*(H233-IF(K233="",I233,K233))))</f>
        <v/>
      </c>
      <c r="AH233" s="26" t="str">
        <f aca="false">IF(U233&lt;&gt;"Closed","",DATE(YEAR(P233),MONTH(P233),1))</f>
        <v/>
      </c>
      <c r="AI233" s="19" t="str">
        <f aca="false">IF(U233&lt;&gt;"Closed","",COUNTIFS($U$7:$U$506,"Closed",$P$7:$P$506,"&lt;"&amp;P233)+COUNTIFS($U$7:U233,"Closed",$P$7:P233,P233))</f>
        <v/>
      </c>
    </row>
    <row r="234" customFormat="false" ht="15" hidden="false" customHeight="false" outlineLevel="0" collapsed="false">
      <c r="A234" s="13"/>
      <c r="B234" s="48"/>
      <c r="C234" s="48"/>
      <c r="D234" s="48"/>
      <c r="E234" s="15"/>
      <c r="F234" s="15"/>
      <c r="G234" s="16"/>
      <c r="H234" s="17"/>
      <c r="I234" s="17"/>
      <c r="J234" s="17"/>
      <c r="K234" s="17"/>
      <c r="L234" s="16"/>
      <c r="M234" s="17"/>
      <c r="N234" s="16"/>
      <c r="O234" s="17"/>
      <c r="P234" s="15"/>
      <c r="Q234" s="17"/>
      <c r="R234" s="17"/>
      <c r="S234" s="17"/>
      <c r="T234" s="17"/>
      <c r="U234" s="18" t="str">
        <f aca="false">IF(A234="","",IF(N(G234)-N(L234)-N(N234)&lt;0,"Check shares",IF(AND(P234&lt;&gt;"",Q234&lt;&gt;""),"Closed","Open")))</f>
        <v/>
      </c>
      <c r="V234" s="19" t="str">
        <f aca="false">IF(OR(F234="",P234=""),"",NETWORKDAYS(F234,P234,Lists!$F$5:$F$40)-1)</f>
        <v/>
      </c>
      <c r="W234" s="18" t="str">
        <f aca="false">IF(V234="","",IF(V234=0,"Same day","Overnight"))</f>
        <v/>
      </c>
      <c r="X234" s="18" t="str">
        <f aca="false">IF(OR(E234="",F234=""),"",IF(AND(E234&gt;=F234,OR(P234="",E234&lt;=P234)),"Yes","No"))</f>
        <v/>
      </c>
      <c r="Y234" s="20" t="str">
        <f aca="false">IF(A234="","",N(G234)-N(L234)-N(N234))</f>
        <v/>
      </c>
      <c r="Z234" s="21" t="str">
        <f aca="false">IF(OR(G234="",H234="",I234=""),"",ABS(H234-I234)*G234)</f>
        <v/>
      </c>
      <c r="AA234" s="22" t="str">
        <f aca="false">IF(OR(J234="",N(Z234)=0),"",ABS(J234-H234)/ABS(H234-I234))</f>
        <v/>
      </c>
      <c r="AB234" s="23" t="str">
        <f aca="false">IF(U234&lt;&gt;"Closed","",(N(L234)*N(M234)+N(N234)*N(O234)+Y234*Q234)/G234)</f>
        <v/>
      </c>
      <c r="AC234" s="24" t="str">
        <f aca="false">IF(U234&lt;&gt;"Closed","",IF($B234="Short",-1,1)*((N(M234)-H234)*N(L234)+(N(O234)-H234)*N(N234)+(Q234-H234)*Y234)-N(R234))</f>
        <v/>
      </c>
      <c r="AD234" s="25" t="str">
        <f aca="false">IF(OR(AC234="",N(Z234)=0),"",AC234/Z234)</f>
        <v/>
      </c>
      <c r="AE234" s="25" t="str">
        <f aca="false">IF(OR(S234="",N(Z234)=0),"",IF($B234="Short",-1,1)*(S234-H234)*G234/Z234)</f>
        <v/>
      </c>
      <c r="AF234" s="25" t="str">
        <f aca="false">IF(OR(T234="",N(Z234)=0),"",IF($B234="Short",-1,1)*(T234-H234)*G234/Z234)</f>
        <v/>
      </c>
      <c r="AG234" s="21" t="str">
        <f aca="false">IF(U234&lt;&gt;"Open","",Y234*MAX(0,IF($B234="Short",-1,1)*(H234-IF(K234="",I234,K234))))</f>
        <v/>
      </c>
      <c r="AH234" s="26" t="str">
        <f aca="false">IF(U234&lt;&gt;"Closed","",DATE(YEAR(P234),MONTH(P234),1))</f>
        <v/>
      </c>
      <c r="AI234" s="19" t="str">
        <f aca="false">IF(U234&lt;&gt;"Closed","",COUNTIFS($U$7:$U$506,"Closed",$P$7:$P$506,"&lt;"&amp;P234)+COUNTIFS($U$7:U234,"Closed",$P$7:P234,P234))</f>
        <v/>
      </c>
    </row>
    <row r="235" customFormat="false" ht="15" hidden="false" customHeight="false" outlineLevel="0" collapsed="false">
      <c r="A235" s="13"/>
      <c r="B235" s="48"/>
      <c r="C235" s="48"/>
      <c r="D235" s="48"/>
      <c r="E235" s="15"/>
      <c r="F235" s="15"/>
      <c r="G235" s="16"/>
      <c r="H235" s="17"/>
      <c r="I235" s="17"/>
      <c r="J235" s="17"/>
      <c r="K235" s="17"/>
      <c r="L235" s="16"/>
      <c r="M235" s="17"/>
      <c r="N235" s="16"/>
      <c r="O235" s="17"/>
      <c r="P235" s="15"/>
      <c r="Q235" s="17"/>
      <c r="R235" s="17"/>
      <c r="S235" s="17"/>
      <c r="T235" s="17"/>
      <c r="U235" s="18" t="str">
        <f aca="false">IF(A235="","",IF(N(G235)-N(L235)-N(N235)&lt;0,"Check shares",IF(AND(P235&lt;&gt;"",Q235&lt;&gt;""),"Closed","Open")))</f>
        <v/>
      </c>
      <c r="V235" s="19" t="str">
        <f aca="false">IF(OR(F235="",P235=""),"",NETWORKDAYS(F235,P235,Lists!$F$5:$F$40)-1)</f>
        <v/>
      </c>
      <c r="W235" s="18" t="str">
        <f aca="false">IF(V235="","",IF(V235=0,"Same day","Overnight"))</f>
        <v/>
      </c>
      <c r="X235" s="18" t="str">
        <f aca="false">IF(OR(E235="",F235=""),"",IF(AND(E235&gt;=F235,OR(P235="",E235&lt;=P235)),"Yes","No"))</f>
        <v/>
      </c>
      <c r="Y235" s="20" t="str">
        <f aca="false">IF(A235="","",N(G235)-N(L235)-N(N235))</f>
        <v/>
      </c>
      <c r="Z235" s="21" t="str">
        <f aca="false">IF(OR(G235="",H235="",I235=""),"",ABS(H235-I235)*G235)</f>
        <v/>
      </c>
      <c r="AA235" s="22" t="str">
        <f aca="false">IF(OR(J235="",N(Z235)=0),"",ABS(J235-H235)/ABS(H235-I235))</f>
        <v/>
      </c>
      <c r="AB235" s="23" t="str">
        <f aca="false">IF(U235&lt;&gt;"Closed","",(N(L235)*N(M235)+N(N235)*N(O235)+Y235*Q235)/G235)</f>
        <v/>
      </c>
      <c r="AC235" s="24" t="str">
        <f aca="false">IF(U235&lt;&gt;"Closed","",IF($B235="Short",-1,1)*((N(M235)-H235)*N(L235)+(N(O235)-H235)*N(N235)+(Q235-H235)*Y235)-N(R235))</f>
        <v/>
      </c>
      <c r="AD235" s="25" t="str">
        <f aca="false">IF(OR(AC235="",N(Z235)=0),"",AC235/Z235)</f>
        <v/>
      </c>
      <c r="AE235" s="25" t="str">
        <f aca="false">IF(OR(S235="",N(Z235)=0),"",IF($B235="Short",-1,1)*(S235-H235)*G235/Z235)</f>
        <v/>
      </c>
      <c r="AF235" s="25" t="str">
        <f aca="false">IF(OR(T235="",N(Z235)=0),"",IF($B235="Short",-1,1)*(T235-H235)*G235/Z235)</f>
        <v/>
      </c>
      <c r="AG235" s="21" t="str">
        <f aca="false">IF(U235&lt;&gt;"Open","",Y235*MAX(0,IF($B235="Short",-1,1)*(H235-IF(K235="",I235,K235))))</f>
        <v/>
      </c>
      <c r="AH235" s="26" t="str">
        <f aca="false">IF(U235&lt;&gt;"Closed","",DATE(YEAR(P235),MONTH(P235),1))</f>
        <v/>
      </c>
      <c r="AI235" s="19" t="str">
        <f aca="false">IF(U235&lt;&gt;"Closed","",COUNTIFS($U$7:$U$506,"Closed",$P$7:$P$506,"&lt;"&amp;P235)+COUNTIFS($U$7:U235,"Closed",$P$7:P235,P235))</f>
        <v/>
      </c>
    </row>
    <row r="236" customFormat="false" ht="15" hidden="false" customHeight="false" outlineLevel="0" collapsed="false">
      <c r="A236" s="13"/>
      <c r="B236" s="48"/>
      <c r="C236" s="48"/>
      <c r="D236" s="48"/>
      <c r="E236" s="15"/>
      <c r="F236" s="15"/>
      <c r="G236" s="16"/>
      <c r="H236" s="17"/>
      <c r="I236" s="17"/>
      <c r="J236" s="17"/>
      <c r="K236" s="17"/>
      <c r="L236" s="16"/>
      <c r="M236" s="17"/>
      <c r="N236" s="16"/>
      <c r="O236" s="17"/>
      <c r="P236" s="15"/>
      <c r="Q236" s="17"/>
      <c r="R236" s="17"/>
      <c r="S236" s="17"/>
      <c r="T236" s="17"/>
      <c r="U236" s="18" t="str">
        <f aca="false">IF(A236="","",IF(N(G236)-N(L236)-N(N236)&lt;0,"Check shares",IF(AND(P236&lt;&gt;"",Q236&lt;&gt;""),"Closed","Open")))</f>
        <v/>
      </c>
      <c r="V236" s="19" t="str">
        <f aca="false">IF(OR(F236="",P236=""),"",NETWORKDAYS(F236,P236,Lists!$F$5:$F$40)-1)</f>
        <v/>
      </c>
      <c r="W236" s="18" t="str">
        <f aca="false">IF(V236="","",IF(V236=0,"Same day","Overnight"))</f>
        <v/>
      </c>
      <c r="X236" s="18" t="str">
        <f aca="false">IF(OR(E236="",F236=""),"",IF(AND(E236&gt;=F236,OR(P236="",E236&lt;=P236)),"Yes","No"))</f>
        <v/>
      </c>
      <c r="Y236" s="20" t="str">
        <f aca="false">IF(A236="","",N(G236)-N(L236)-N(N236))</f>
        <v/>
      </c>
      <c r="Z236" s="21" t="str">
        <f aca="false">IF(OR(G236="",H236="",I236=""),"",ABS(H236-I236)*G236)</f>
        <v/>
      </c>
      <c r="AA236" s="22" t="str">
        <f aca="false">IF(OR(J236="",N(Z236)=0),"",ABS(J236-H236)/ABS(H236-I236))</f>
        <v/>
      </c>
      <c r="AB236" s="23" t="str">
        <f aca="false">IF(U236&lt;&gt;"Closed","",(N(L236)*N(M236)+N(N236)*N(O236)+Y236*Q236)/G236)</f>
        <v/>
      </c>
      <c r="AC236" s="24" t="str">
        <f aca="false">IF(U236&lt;&gt;"Closed","",IF($B236="Short",-1,1)*((N(M236)-H236)*N(L236)+(N(O236)-H236)*N(N236)+(Q236-H236)*Y236)-N(R236))</f>
        <v/>
      </c>
      <c r="AD236" s="25" t="str">
        <f aca="false">IF(OR(AC236="",N(Z236)=0),"",AC236/Z236)</f>
        <v/>
      </c>
      <c r="AE236" s="25" t="str">
        <f aca="false">IF(OR(S236="",N(Z236)=0),"",IF($B236="Short",-1,1)*(S236-H236)*G236/Z236)</f>
        <v/>
      </c>
      <c r="AF236" s="25" t="str">
        <f aca="false">IF(OR(T236="",N(Z236)=0),"",IF($B236="Short",-1,1)*(T236-H236)*G236/Z236)</f>
        <v/>
      </c>
      <c r="AG236" s="21" t="str">
        <f aca="false">IF(U236&lt;&gt;"Open","",Y236*MAX(0,IF($B236="Short",-1,1)*(H236-IF(K236="",I236,K236))))</f>
        <v/>
      </c>
      <c r="AH236" s="26" t="str">
        <f aca="false">IF(U236&lt;&gt;"Closed","",DATE(YEAR(P236),MONTH(P236),1))</f>
        <v/>
      </c>
      <c r="AI236" s="19" t="str">
        <f aca="false">IF(U236&lt;&gt;"Closed","",COUNTIFS($U$7:$U$506,"Closed",$P$7:$P$506,"&lt;"&amp;P236)+COUNTIFS($U$7:U236,"Closed",$P$7:P236,P236))</f>
        <v/>
      </c>
    </row>
    <row r="237" customFormat="false" ht="15" hidden="false" customHeight="false" outlineLevel="0" collapsed="false">
      <c r="A237" s="13"/>
      <c r="B237" s="48"/>
      <c r="C237" s="48"/>
      <c r="D237" s="48"/>
      <c r="E237" s="15"/>
      <c r="F237" s="15"/>
      <c r="G237" s="16"/>
      <c r="H237" s="17"/>
      <c r="I237" s="17"/>
      <c r="J237" s="17"/>
      <c r="K237" s="17"/>
      <c r="L237" s="16"/>
      <c r="M237" s="17"/>
      <c r="N237" s="16"/>
      <c r="O237" s="17"/>
      <c r="P237" s="15"/>
      <c r="Q237" s="17"/>
      <c r="R237" s="17"/>
      <c r="S237" s="17"/>
      <c r="T237" s="17"/>
      <c r="U237" s="18" t="str">
        <f aca="false">IF(A237="","",IF(N(G237)-N(L237)-N(N237)&lt;0,"Check shares",IF(AND(P237&lt;&gt;"",Q237&lt;&gt;""),"Closed","Open")))</f>
        <v/>
      </c>
      <c r="V237" s="19" t="str">
        <f aca="false">IF(OR(F237="",P237=""),"",NETWORKDAYS(F237,P237,Lists!$F$5:$F$40)-1)</f>
        <v/>
      </c>
      <c r="W237" s="18" t="str">
        <f aca="false">IF(V237="","",IF(V237=0,"Same day","Overnight"))</f>
        <v/>
      </c>
      <c r="X237" s="18" t="str">
        <f aca="false">IF(OR(E237="",F237=""),"",IF(AND(E237&gt;=F237,OR(P237="",E237&lt;=P237)),"Yes","No"))</f>
        <v/>
      </c>
      <c r="Y237" s="20" t="str">
        <f aca="false">IF(A237="","",N(G237)-N(L237)-N(N237))</f>
        <v/>
      </c>
      <c r="Z237" s="21" t="str">
        <f aca="false">IF(OR(G237="",H237="",I237=""),"",ABS(H237-I237)*G237)</f>
        <v/>
      </c>
      <c r="AA237" s="22" t="str">
        <f aca="false">IF(OR(J237="",N(Z237)=0),"",ABS(J237-H237)/ABS(H237-I237))</f>
        <v/>
      </c>
      <c r="AB237" s="23" t="str">
        <f aca="false">IF(U237&lt;&gt;"Closed","",(N(L237)*N(M237)+N(N237)*N(O237)+Y237*Q237)/G237)</f>
        <v/>
      </c>
      <c r="AC237" s="24" t="str">
        <f aca="false">IF(U237&lt;&gt;"Closed","",IF($B237="Short",-1,1)*((N(M237)-H237)*N(L237)+(N(O237)-H237)*N(N237)+(Q237-H237)*Y237)-N(R237))</f>
        <v/>
      </c>
      <c r="AD237" s="25" t="str">
        <f aca="false">IF(OR(AC237="",N(Z237)=0),"",AC237/Z237)</f>
        <v/>
      </c>
      <c r="AE237" s="25" t="str">
        <f aca="false">IF(OR(S237="",N(Z237)=0),"",IF($B237="Short",-1,1)*(S237-H237)*G237/Z237)</f>
        <v/>
      </c>
      <c r="AF237" s="25" t="str">
        <f aca="false">IF(OR(T237="",N(Z237)=0),"",IF($B237="Short",-1,1)*(T237-H237)*G237/Z237)</f>
        <v/>
      </c>
      <c r="AG237" s="21" t="str">
        <f aca="false">IF(U237&lt;&gt;"Open","",Y237*MAX(0,IF($B237="Short",-1,1)*(H237-IF(K237="",I237,K237))))</f>
        <v/>
      </c>
      <c r="AH237" s="26" t="str">
        <f aca="false">IF(U237&lt;&gt;"Closed","",DATE(YEAR(P237),MONTH(P237),1))</f>
        <v/>
      </c>
      <c r="AI237" s="19" t="str">
        <f aca="false">IF(U237&lt;&gt;"Closed","",COUNTIFS($U$7:$U$506,"Closed",$P$7:$P$506,"&lt;"&amp;P237)+COUNTIFS($U$7:U237,"Closed",$P$7:P237,P237))</f>
        <v/>
      </c>
    </row>
    <row r="238" customFormat="false" ht="15" hidden="false" customHeight="false" outlineLevel="0" collapsed="false">
      <c r="A238" s="13"/>
      <c r="B238" s="48"/>
      <c r="C238" s="48"/>
      <c r="D238" s="48"/>
      <c r="E238" s="15"/>
      <c r="F238" s="15"/>
      <c r="G238" s="16"/>
      <c r="H238" s="17"/>
      <c r="I238" s="17"/>
      <c r="J238" s="17"/>
      <c r="K238" s="17"/>
      <c r="L238" s="16"/>
      <c r="M238" s="17"/>
      <c r="N238" s="16"/>
      <c r="O238" s="17"/>
      <c r="P238" s="15"/>
      <c r="Q238" s="17"/>
      <c r="R238" s="17"/>
      <c r="S238" s="17"/>
      <c r="T238" s="17"/>
      <c r="U238" s="18" t="str">
        <f aca="false">IF(A238="","",IF(N(G238)-N(L238)-N(N238)&lt;0,"Check shares",IF(AND(P238&lt;&gt;"",Q238&lt;&gt;""),"Closed","Open")))</f>
        <v/>
      </c>
      <c r="V238" s="19" t="str">
        <f aca="false">IF(OR(F238="",P238=""),"",NETWORKDAYS(F238,P238,Lists!$F$5:$F$40)-1)</f>
        <v/>
      </c>
      <c r="W238" s="18" t="str">
        <f aca="false">IF(V238="","",IF(V238=0,"Same day","Overnight"))</f>
        <v/>
      </c>
      <c r="X238" s="18" t="str">
        <f aca="false">IF(OR(E238="",F238=""),"",IF(AND(E238&gt;=F238,OR(P238="",E238&lt;=P238)),"Yes","No"))</f>
        <v/>
      </c>
      <c r="Y238" s="20" t="str">
        <f aca="false">IF(A238="","",N(G238)-N(L238)-N(N238))</f>
        <v/>
      </c>
      <c r="Z238" s="21" t="str">
        <f aca="false">IF(OR(G238="",H238="",I238=""),"",ABS(H238-I238)*G238)</f>
        <v/>
      </c>
      <c r="AA238" s="22" t="str">
        <f aca="false">IF(OR(J238="",N(Z238)=0),"",ABS(J238-H238)/ABS(H238-I238))</f>
        <v/>
      </c>
      <c r="AB238" s="23" t="str">
        <f aca="false">IF(U238&lt;&gt;"Closed","",(N(L238)*N(M238)+N(N238)*N(O238)+Y238*Q238)/G238)</f>
        <v/>
      </c>
      <c r="AC238" s="24" t="str">
        <f aca="false">IF(U238&lt;&gt;"Closed","",IF($B238="Short",-1,1)*((N(M238)-H238)*N(L238)+(N(O238)-H238)*N(N238)+(Q238-H238)*Y238)-N(R238))</f>
        <v/>
      </c>
      <c r="AD238" s="25" t="str">
        <f aca="false">IF(OR(AC238="",N(Z238)=0),"",AC238/Z238)</f>
        <v/>
      </c>
      <c r="AE238" s="25" t="str">
        <f aca="false">IF(OR(S238="",N(Z238)=0),"",IF($B238="Short",-1,1)*(S238-H238)*G238/Z238)</f>
        <v/>
      </c>
      <c r="AF238" s="25" t="str">
        <f aca="false">IF(OR(T238="",N(Z238)=0),"",IF($B238="Short",-1,1)*(T238-H238)*G238/Z238)</f>
        <v/>
      </c>
      <c r="AG238" s="21" t="str">
        <f aca="false">IF(U238&lt;&gt;"Open","",Y238*MAX(0,IF($B238="Short",-1,1)*(H238-IF(K238="",I238,K238))))</f>
        <v/>
      </c>
      <c r="AH238" s="26" t="str">
        <f aca="false">IF(U238&lt;&gt;"Closed","",DATE(YEAR(P238),MONTH(P238),1))</f>
        <v/>
      </c>
      <c r="AI238" s="19" t="str">
        <f aca="false">IF(U238&lt;&gt;"Closed","",COUNTIFS($U$7:$U$506,"Closed",$P$7:$P$506,"&lt;"&amp;P238)+COUNTIFS($U$7:U238,"Closed",$P$7:P238,P238))</f>
        <v/>
      </c>
    </row>
    <row r="239" customFormat="false" ht="15" hidden="false" customHeight="false" outlineLevel="0" collapsed="false">
      <c r="A239" s="13"/>
      <c r="B239" s="48"/>
      <c r="C239" s="48"/>
      <c r="D239" s="48"/>
      <c r="E239" s="15"/>
      <c r="F239" s="15"/>
      <c r="G239" s="16"/>
      <c r="H239" s="17"/>
      <c r="I239" s="17"/>
      <c r="J239" s="17"/>
      <c r="K239" s="17"/>
      <c r="L239" s="16"/>
      <c r="M239" s="17"/>
      <c r="N239" s="16"/>
      <c r="O239" s="17"/>
      <c r="P239" s="15"/>
      <c r="Q239" s="17"/>
      <c r="R239" s="17"/>
      <c r="S239" s="17"/>
      <c r="T239" s="17"/>
      <c r="U239" s="18" t="str">
        <f aca="false">IF(A239="","",IF(N(G239)-N(L239)-N(N239)&lt;0,"Check shares",IF(AND(P239&lt;&gt;"",Q239&lt;&gt;""),"Closed","Open")))</f>
        <v/>
      </c>
      <c r="V239" s="19" t="str">
        <f aca="false">IF(OR(F239="",P239=""),"",NETWORKDAYS(F239,P239,Lists!$F$5:$F$40)-1)</f>
        <v/>
      </c>
      <c r="W239" s="18" t="str">
        <f aca="false">IF(V239="","",IF(V239=0,"Same day","Overnight"))</f>
        <v/>
      </c>
      <c r="X239" s="18" t="str">
        <f aca="false">IF(OR(E239="",F239=""),"",IF(AND(E239&gt;=F239,OR(P239="",E239&lt;=P239)),"Yes","No"))</f>
        <v/>
      </c>
      <c r="Y239" s="20" t="str">
        <f aca="false">IF(A239="","",N(G239)-N(L239)-N(N239))</f>
        <v/>
      </c>
      <c r="Z239" s="21" t="str">
        <f aca="false">IF(OR(G239="",H239="",I239=""),"",ABS(H239-I239)*G239)</f>
        <v/>
      </c>
      <c r="AA239" s="22" t="str">
        <f aca="false">IF(OR(J239="",N(Z239)=0),"",ABS(J239-H239)/ABS(H239-I239))</f>
        <v/>
      </c>
      <c r="AB239" s="23" t="str">
        <f aca="false">IF(U239&lt;&gt;"Closed","",(N(L239)*N(M239)+N(N239)*N(O239)+Y239*Q239)/G239)</f>
        <v/>
      </c>
      <c r="AC239" s="24" t="str">
        <f aca="false">IF(U239&lt;&gt;"Closed","",IF($B239="Short",-1,1)*((N(M239)-H239)*N(L239)+(N(O239)-H239)*N(N239)+(Q239-H239)*Y239)-N(R239))</f>
        <v/>
      </c>
      <c r="AD239" s="25" t="str">
        <f aca="false">IF(OR(AC239="",N(Z239)=0),"",AC239/Z239)</f>
        <v/>
      </c>
      <c r="AE239" s="25" t="str">
        <f aca="false">IF(OR(S239="",N(Z239)=0),"",IF($B239="Short",-1,1)*(S239-H239)*G239/Z239)</f>
        <v/>
      </c>
      <c r="AF239" s="25" t="str">
        <f aca="false">IF(OR(T239="",N(Z239)=0),"",IF($B239="Short",-1,1)*(T239-H239)*G239/Z239)</f>
        <v/>
      </c>
      <c r="AG239" s="21" t="str">
        <f aca="false">IF(U239&lt;&gt;"Open","",Y239*MAX(0,IF($B239="Short",-1,1)*(H239-IF(K239="",I239,K239))))</f>
        <v/>
      </c>
      <c r="AH239" s="26" t="str">
        <f aca="false">IF(U239&lt;&gt;"Closed","",DATE(YEAR(P239),MONTH(P239),1))</f>
        <v/>
      </c>
      <c r="AI239" s="19" t="str">
        <f aca="false">IF(U239&lt;&gt;"Closed","",COUNTIFS($U$7:$U$506,"Closed",$P$7:$P$506,"&lt;"&amp;P239)+COUNTIFS($U$7:U239,"Closed",$P$7:P239,P239))</f>
        <v/>
      </c>
    </row>
    <row r="240" customFormat="false" ht="15" hidden="false" customHeight="false" outlineLevel="0" collapsed="false">
      <c r="A240" s="13"/>
      <c r="B240" s="48"/>
      <c r="C240" s="48"/>
      <c r="D240" s="48"/>
      <c r="E240" s="15"/>
      <c r="F240" s="15"/>
      <c r="G240" s="16"/>
      <c r="H240" s="17"/>
      <c r="I240" s="17"/>
      <c r="J240" s="17"/>
      <c r="K240" s="17"/>
      <c r="L240" s="16"/>
      <c r="M240" s="17"/>
      <c r="N240" s="16"/>
      <c r="O240" s="17"/>
      <c r="P240" s="15"/>
      <c r="Q240" s="17"/>
      <c r="R240" s="17"/>
      <c r="S240" s="17"/>
      <c r="T240" s="17"/>
      <c r="U240" s="18" t="str">
        <f aca="false">IF(A240="","",IF(N(G240)-N(L240)-N(N240)&lt;0,"Check shares",IF(AND(P240&lt;&gt;"",Q240&lt;&gt;""),"Closed","Open")))</f>
        <v/>
      </c>
      <c r="V240" s="19" t="str">
        <f aca="false">IF(OR(F240="",P240=""),"",NETWORKDAYS(F240,P240,Lists!$F$5:$F$40)-1)</f>
        <v/>
      </c>
      <c r="W240" s="18" t="str">
        <f aca="false">IF(V240="","",IF(V240=0,"Same day","Overnight"))</f>
        <v/>
      </c>
      <c r="X240" s="18" t="str">
        <f aca="false">IF(OR(E240="",F240=""),"",IF(AND(E240&gt;=F240,OR(P240="",E240&lt;=P240)),"Yes","No"))</f>
        <v/>
      </c>
      <c r="Y240" s="20" t="str">
        <f aca="false">IF(A240="","",N(G240)-N(L240)-N(N240))</f>
        <v/>
      </c>
      <c r="Z240" s="21" t="str">
        <f aca="false">IF(OR(G240="",H240="",I240=""),"",ABS(H240-I240)*G240)</f>
        <v/>
      </c>
      <c r="AA240" s="22" t="str">
        <f aca="false">IF(OR(J240="",N(Z240)=0),"",ABS(J240-H240)/ABS(H240-I240))</f>
        <v/>
      </c>
      <c r="AB240" s="23" t="str">
        <f aca="false">IF(U240&lt;&gt;"Closed","",(N(L240)*N(M240)+N(N240)*N(O240)+Y240*Q240)/G240)</f>
        <v/>
      </c>
      <c r="AC240" s="24" t="str">
        <f aca="false">IF(U240&lt;&gt;"Closed","",IF($B240="Short",-1,1)*((N(M240)-H240)*N(L240)+(N(O240)-H240)*N(N240)+(Q240-H240)*Y240)-N(R240))</f>
        <v/>
      </c>
      <c r="AD240" s="25" t="str">
        <f aca="false">IF(OR(AC240="",N(Z240)=0),"",AC240/Z240)</f>
        <v/>
      </c>
      <c r="AE240" s="25" t="str">
        <f aca="false">IF(OR(S240="",N(Z240)=0),"",IF($B240="Short",-1,1)*(S240-H240)*G240/Z240)</f>
        <v/>
      </c>
      <c r="AF240" s="25" t="str">
        <f aca="false">IF(OR(T240="",N(Z240)=0),"",IF($B240="Short",-1,1)*(T240-H240)*G240/Z240)</f>
        <v/>
      </c>
      <c r="AG240" s="21" t="str">
        <f aca="false">IF(U240&lt;&gt;"Open","",Y240*MAX(0,IF($B240="Short",-1,1)*(H240-IF(K240="",I240,K240))))</f>
        <v/>
      </c>
      <c r="AH240" s="26" t="str">
        <f aca="false">IF(U240&lt;&gt;"Closed","",DATE(YEAR(P240),MONTH(P240),1))</f>
        <v/>
      </c>
      <c r="AI240" s="19" t="str">
        <f aca="false">IF(U240&lt;&gt;"Closed","",COUNTIFS($U$7:$U$506,"Closed",$P$7:$P$506,"&lt;"&amp;P240)+COUNTIFS($U$7:U240,"Closed",$P$7:P240,P240))</f>
        <v/>
      </c>
    </row>
    <row r="241" customFormat="false" ht="15" hidden="false" customHeight="false" outlineLevel="0" collapsed="false">
      <c r="A241" s="13"/>
      <c r="B241" s="48"/>
      <c r="C241" s="48"/>
      <c r="D241" s="48"/>
      <c r="E241" s="15"/>
      <c r="F241" s="15"/>
      <c r="G241" s="16"/>
      <c r="H241" s="17"/>
      <c r="I241" s="17"/>
      <c r="J241" s="17"/>
      <c r="K241" s="17"/>
      <c r="L241" s="16"/>
      <c r="M241" s="17"/>
      <c r="N241" s="16"/>
      <c r="O241" s="17"/>
      <c r="P241" s="15"/>
      <c r="Q241" s="17"/>
      <c r="R241" s="17"/>
      <c r="S241" s="17"/>
      <c r="T241" s="17"/>
      <c r="U241" s="18" t="str">
        <f aca="false">IF(A241="","",IF(N(G241)-N(L241)-N(N241)&lt;0,"Check shares",IF(AND(P241&lt;&gt;"",Q241&lt;&gt;""),"Closed","Open")))</f>
        <v/>
      </c>
      <c r="V241" s="19" t="str">
        <f aca="false">IF(OR(F241="",P241=""),"",NETWORKDAYS(F241,P241,Lists!$F$5:$F$40)-1)</f>
        <v/>
      </c>
      <c r="W241" s="18" t="str">
        <f aca="false">IF(V241="","",IF(V241=0,"Same day","Overnight"))</f>
        <v/>
      </c>
      <c r="X241" s="18" t="str">
        <f aca="false">IF(OR(E241="",F241=""),"",IF(AND(E241&gt;=F241,OR(P241="",E241&lt;=P241)),"Yes","No"))</f>
        <v/>
      </c>
      <c r="Y241" s="20" t="str">
        <f aca="false">IF(A241="","",N(G241)-N(L241)-N(N241))</f>
        <v/>
      </c>
      <c r="Z241" s="21" t="str">
        <f aca="false">IF(OR(G241="",H241="",I241=""),"",ABS(H241-I241)*G241)</f>
        <v/>
      </c>
      <c r="AA241" s="22" t="str">
        <f aca="false">IF(OR(J241="",N(Z241)=0),"",ABS(J241-H241)/ABS(H241-I241))</f>
        <v/>
      </c>
      <c r="AB241" s="23" t="str">
        <f aca="false">IF(U241&lt;&gt;"Closed","",(N(L241)*N(M241)+N(N241)*N(O241)+Y241*Q241)/G241)</f>
        <v/>
      </c>
      <c r="AC241" s="24" t="str">
        <f aca="false">IF(U241&lt;&gt;"Closed","",IF($B241="Short",-1,1)*((N(M241)-H241)*N(L241)+(N(O241)-H241)*N(N241)+(Q241-H241)*Y241)-N(R241))</f>
        <v/>
      </c>
      <c r="AD241" s="25" t="str">
        <f aca="false">IF(OR(AC241="",N(Z241)=0),"",AC241/Z241)</f>
        <v/>
      </c>
      <c r="AE241" s="25" t="str">
        <f aca="false">IF(OR(S241="",N(Z241)=0),"",IF($B241="Short",-1,1)*(S241-H241)*G241/Z241)</f>
        <v/>
      </c>
      <c r="AF241" s="25" t="str">
        <f aca="false">IF(OR(T241="",N(Z241)=0),"",IF($B241="Short",-1,1)*(T241-H241)*G241/Z241)</f>
        <v/>
      </c>
      <c r="AG241" s="21" t="str">
        <f aca="false">IF(U241&lt;&gt;"Open","",Y241*MAX(0,IF($B241="Short",-1,1)*(H241-IF(K241="",I241,K241))))</f>
        <v/>
      </c>
      <c r="AH241" s="26" t="str">
        <f aca="false">IF(U241&lt;&gt;"Closed","",DATE(YEAR(P241),MONTH(P241),1))</f>
        <v/>
      </c>
      <c r="AI241" s="19" t="str">
        <f aca="false">IF(U241&lt;&gt;"Closed","",COUNTIFS($U$7:$U$506,"Closed",$P$7:$P$506,"&lt;"&amp;P241)+COUNTIFS($U$7:U241,"Closed",$P$7:P241,P241))</f>
        <v/>
      </c>
    </row>
    <row r="242" customFormat="false" ht="15" hidden="false" customHeight="false" outlineLevel="0" collapsed="false">
      <c r="A242" s="13"/>
      <c r="B242" s="48"/>
      <c r="C242" s="48"/>
      <c r="D242" s="48"/>
      <c r="E242" s="15"/>
      <c r="F242" s="15"/>
      <c r="G242" s="16"/>
      <c r="H242" s="17"/>
      <c r="I242" s="17"/>
      <c r="J242" s="17"/>
      <c r="K242" s="17"/>
      <c r="L242" s="16"/>
      <c r="M242" s="17"/>
      <c r="N242" s="16"/>
      <c r="O242" s="17"/>
      <c r="P242" s="15"/>
      <c r="Q242" s="17"/>
      <c r="R242" s="17"/>
      <c r="S242" s="17"/>
      <c r="T242" s="17"/>
      <c r="U242" s="18" t="str">
        <f aca="false">IF(A242="","",IF(N(G242)-N(L242)-N(N242)&lt;0,"Check shares",IF(AND(P242&lt;&gt;"",Q242&lt;&gt;""),"Closed","Open")))</f>
        <v/>
      </c>
      <c r="V242" s="19" t="str">
        <f aca="false">IF(OR(F242="",P242=""),"",NETWORKDAYS(F242,P242,Lists!$F$5:$F$40)-1)</f>
        <v/>
      </c>
      <c r="W242" s="18" t="str">
        <f aca="false">IF(V242="","",IF(V242=0,"Same day","Overnight"))</f>
        <v/>
      </c>
      <c r="X242" s="18" t="str">
        <f aca="false">IF(OR(E242="",F242=""),"",IF(AND(E242&gt;=F242,OR(P242="",E242&lt;=P242)),"Yes","No"))</f>
        <v/>
      </c>
      <c r="Y242" s="20" t="str">
        <f aca="false">IF(A242="","",N(G242)-N(L242)-N(N242))</f>
        <v/>
      </c>
      <c r="Z242" s="21" t="str">
        <f aca="false">IF(OR(G242="",H242="",I242=""),"",ABS(H242-I242)*G242)</f>
        <v/>
      </c>
      <c r="AA242" s="22" t="str">
        <f aca="false">IF(OR(J242="",N(Z242)=0),"",ABS(J242-H242)/ABS(H242-I242))</f>
        <v/>
      </c>
      <c r="AB242" s="23" t="str">
        <f aca="false">IF(U242&lt;&gt;"Closed","",(N(L242)*N(M242)+N(N242)*N(O242)+Y242*Q242)/G242)</f>
        <v/>
      </c>
      <c r="AC242" s="24" t="str">
        <f aca="false">IF(U242&lt;&gt;"Closed","",IF($B242="Short",-1,1)*((N(M242)-H242)*N(L242)+(N(O242)-H242)*N(N242)+(Q242-H242)*Y242)-N(R242))</f>
        <v/>
      </c>
      <c r="AD242" s="25" t="str">
        <f aca="false">IF(OR(AC242="",N(Z242)=0),"",AC242/Z242)</f>
        <v/>
      </c>
      <c r="AE242" s="25" t="str">
        <f aca="false">IF(OR(S242="",N(Z242)=0),"",IF($B242="Short",-1,1)*(S242-H242)*G242/Z242)</f>
        <v/>
      </c>
      <c r="AF242" s="25" t="str">
        <f aca="false">IF(OR(T242="",N(Z242)=0),"",IF($B242="Short",-1,1)*(T242-H242)*G242/Z242)</f>
        <v/>
      </c>
      <c r="AG242" s="21" t="str">
        <f aca="false">IF(U242&lt;&gt;"Open","",Y242*MAX(0,IF($B242="Short",-1,1)*(H242-IF(K242="",I242,K242))))</f>
        <v/>
      </c>
      <c r="AH242" s="26" t="str">
        <f aca="false">IF(U242&lt;&gt;"Closed","",DATE(YEAR(P242),MONTH(P242),1))</f>
        <v/>
      </c>
      <c r="AI242" s="19" t="str">
        <f aca="false">IF(U242&lt;&gt;"Closed","",COUNTIFS($U$7:$U$506,"Closed",$P$7:$P$506,"&lt;"&amp;P242)+COUNTIFS($U$7:U242,"Closed",$P$7:P242,P242))</f>
        <v/>
      </c>
    </row>
    <row r="243" customFormat="false" ht="15" hidden="false" customHeight="false" outlineLevel="0" collapsed="false">
      <c r="A243" s="13"/>
      <c r="B243" s="48"/>
      <c r="C243" s="48"/>
      <c r="D243" s="48"/>
      <c r="E243" s="15"/>
      <c r="F243" s="15"/>
      <c r="G243" s="16"/>
      <c r="H243" s="17"/>
      <c r="I243" s="17"/>
      <c r="J243" s="17"/>
      <c r="K243" s="17"/>
      <c r="L243" s="16"/>
      <c r="M243" s="17"/>
      <c r="N243" s="16"/>
      <c r="O243" s="17"/>
      <c r="P243" s="15"/>
      <c r="Q243" s="17"/>
      <c r="R243" s="17"/>
      <c r="S243" s="17"/>
      <c r="T243" s="17"/>
      <c r="U243" s="18" t="str">
        <f aca="false">IF(A243="","",IF(N(G243)-N(L243)-N(N243)&lt;0,"Check shares",IF(AND(P243&lt;&gt;"",Q243&lt;&gt;""),"Closed","Open")))</f>
        <v/>
      </c>
      <c r="V243" s="19" t="str">
        <f aca="false">IF(OR(F243="",P243=""),"",NETWORKDAYS(F243,P243,Lists!$F$5:$F$40)-1)</f>
        <v/>
      </c>
      <c r="W243" s="18" t="str">
        <f aca="false">IF(V243="","",IF(V243=0,"Same day","Overnight"))</f>
        <v/>
      </c>
      <c r="X243" s="18" t="str">
        <f aca="false">IF(OR(E243="",F243=""),"",IF(AND(E243&gt;=F243,OR(P243="",E243&lt;=P243)),"Yes","No"))</f>
        <v/>
      </c>
      <c r="Y243" s="20" t="str">
        <f aca="false">IF(A243="","",N(G243)-N(L243)-N(N243))</f>
        <v/>
      </c>
      <c r="Z243" s="21" t="str">
        <f aca="false">IF(OR(G243="",H243="",I243=""),"",ABS(H243-I243)*G243)</f>
        <v/>
      </c>
      <c r="AA243" s="22" t="str">
        <f aca="false">IF(OR(J243="",N(Z243)=0),"",ABS(J243-H243)/ABS(H243-I243))</f>
        <v/>
      </c>
      <c r="AB243" s="23" t="str">
        <f aca="false">IF(U243&lt;&gt;"Closed","",(N(L243)*N(M243)+N(N243)*N(O243)+Y243*Q243)/G243)</f>
        <v/>
      </c>
      <c r="AC243" s="24" t="str">
        <f aca="false">IF(U243&lt;&gt;"Closed","",IF($B243="Short",-1,1)*((N(M243)-H243)*N(L243)+(N(O243)-H243)*N(N243)+(Q243-H243)*Y243)-N(R243))</f>
        <v/>
      </c>
      <c r="AD243" s="25" t="str">
        <f aca="false">IF(OR(AC243="",N(Z243)=0),"",AC243/Z243)</f>
        <v/>
      </c>
      <c r="AE243" s="25" t="str">
        <f aca="false">IF(OR(S243="",N(Z243)=0),"",IF($B243="Short",-1,1)*(S243-H243)*G243/Z243)</f>
        <v/>
      </c>
      <c r="AF243" s="25" t="str">
        <f aca="false">IF(OR(T243="",N(Z243)=0),"",IF($B243="Short",-1,1)*(T243-H243)*G243/Z243)</f>
        <v/>
      </c>
      <c r="AG243" s="21" t="str">
        <f aca="false">IF(U243&lt;&gt;"Open","",Y243*MAX(0,IF($B243="Short",-1,1)*(H243-IF(K243="",I243,K243))))</f>
        <v/>
      </c>
      <c r="AH243" s="26" t="str">
        <f aca="false">IF(U243&lt;&gt;"Closed","",DATE(YEAR(P243),MONTH(P243),1))</f>
        <v/>
      </c>
      <c r="AI243" s="19" t="str">
        <f aca="false">IF(U243&lt;&gt;"Closed","",COUNTIFS($U$7:$U$506,"Closed",$P$7:$P$506,"&lt;"&amp;P243)+COUNTIFS($U$7:U243,"Closed",$P$7:P243,P243))</f>
        <v/>
      </c>
    </row>
    <row r="244" customFormat="false" ht="15" hidden="false" customHeight="false" outlineLevel="0" collapsed="false">
      <c r="A244" s="13"/>
      <c r="B244" s="48"/>
      <c r="C244" s="48"/>
      <c r="D244" s="48"/>
      <c r="E244" s="15"/>
      <c r="F244" s="15"/>
      <c r="G244" s="16"/>
      <c r="H244" s="17"/>
      <c r="I244" s="17"/>
      <c r="J244" s="17"/>
      <c r="K244" s="17"/>
      <c r="L244" s="16"/>
      <c r="M244" s="17"/>
      <c r="N244" s="16"/>
      <c r="O244" s="17"/>
      <c r="P244" s="15"/>
      <c r="Q244" s="17"/>
      <c r="R244" s="17"/>
      <c r="S244" s="17"/>
      <c r="T244" s="17"/>
      <c r="U244" s="18" t="str">
        <f aca="false">IF(A244="","",IF(N(G244)-N(L244)-N(N244)&lt;0,"Check shares",IF(AND(P244&lt;&gt;"",Q244&lt;&gt;""),"Closed","Open")))</f>
        <v/>
      </c>
      <c r="V244" s="19" t="str">
        <f aca="false">IF(OR(F244="",P244=""),"",NETWORKDAYS(F244,P244,Lists!$F$5:$F$40)-1)</f>
        <v/>
      </c>
      <c r="W244" s="18" t="str">
        <f aca="false">IF(V244="","",IF(V244=0,"Same day","Overnight"))</f>
        <v/>
      </c>
      <c r="X244" s="18" t="str">
        <f aca="false">IF(OR(E244="",F244=""),"",IF(AND(E244&gt;=F244,OR(P244="",E244&lt;=P244)),"Yes","No"))</f>
        <v/>
      </c>
      <c r="Y244" s="20" t="str">
        <f aca="false">IF(A244="","",N(G244)-N(L244)-N(N244))</f>
        <v/>
      </c>
      <c r="Z244" s="21" t="str">
        <f aca="false">IF(OR(G244="",H244="",I244=""),"",ABS(H244-I244)*G244)</f>
        <v/>
      </c>
      <c r="AA244" s="22" t="str">
        <f aca="false">IF(OR(J244="",N(Z244)=0),"",ABS(J244-H244)/ABS(H244-I244))</f>
        <v/>
      </c>
      <c r="AB244" s="23" t="str">
        <f aca="false">IF(U244&lt;&gt;"Closed","",(N(L244)*N(M244)+N(N244)*N(O244)+Y244*Q244)/G244)</f>
        <v/>
      </c>
      <c r="AC244" s="24" t="str">
        <f aca="false">IF(U244&lt;&gt;"Closed","",IF($B244="Short",-1,1)*((N(M244)-H244)*N(L244)+(N(O244)-H244)*N(N244)+(Q244-H244)*Y244)-N(R244))</f>
        <v/>
      </c>
      <c r="AD244" s="25" t="str">
        <f aca="false">IF(OR(AC244="",N(Z244)=0),"",AC244/Z244)</f>
        <v/>
      </c>
      <c r="AE244" s="25" t="str">
        <f aca="false">IF(OR(S244="",N(Z244)=0),"",IF($B244="Short",-1,1)*(S244-H244)*G244/Z244)</f>
        <v/>
      </c>
      <c r="AF244" s="25" t="str">
        <f aca="false">IF(OR(T244="",N(Z244)=0),"",IF($B244="Short",-1,1)*(T244-H244)*G244/Z244)</f>
        <v/>
      </c>
      <c r="AG244" s="21" t="str">
        <f aca="false">IF(U244&lt;&gt;"Open","",Y244*MAX(0,IF($B244="Short",-1,1)*(H244-IF(K244="",I244,K244))))</f>
        <v/>
      </c>
      <c r="AH244" s="26" t="str">
        <f aca="false">IF(U244&lt;&gt;"Closed","",DATE(YEAR(P244),MONTH(P244),1))</f>
        <v/>
      </c>
      <c r="AI244" s="19" t="str">
        <f aca="false">IF(U244&lt;&gt;"Closed","",COUNTIFS($U$7:$U$506,"Closed",$P$7:$P$506,"&lt;"&amp;P244)+COUNTIFS($U$7:U244,"Closed",$P$7:P244,P244))</f>
        <v/>
      </c>
    </row>
    <row r="245" customFormat="false" ht="15" hidden="false" customHeight="false" outlineLevel="0" collapsed="false">
      <c r="A245" s="13"/>
      <c r="B245" s="48"/>
      <c r="C245" s="48"/>
      <c r="D245" s="48"/>
      <c r="E245" s="15"/>
      <c r="F245" s="15"/>
      <c r="G245" s="16"/>
      <c r="H245" s="17"/>
      <c r="I245" s="17"/>
      <c r="J245" s="17"/>
      <c r="K245" s="17"/>
      <c r="L245" s="16"/>
      <c r="M245" s="17"/>
      <c r="N245" s="16"/>
      <c r="O245" s="17"/>
      <c r="P245" s="15"/>
      <c r="Q245" s="17"/>
      <c r="R245" s="17"/>
      <c r="S245" s="17"/>
      <c r="T245" s="17"/>
      <c r="U245" s="18" t="str">
        <f aca="false">IF(A245="","",IF(N(G245)-N(L245)-N(N245)&lt;0,"Check shares",IF(AND(P245&lt;&gt;"",Q245&lt;&gt;""),"Closed","Open")))</f>
        <v/>
      </c>
      <c r="V245" s="19" t="str">
        <f aca="false">IF(OR(F245="",P245=""),"",NETWORKDAYS(F245,P245,Lists!$F$5:$F$40)-1)</f>
        <v/>
      </c>
      <c r="W245" s="18" t="str">
        <f aca="false">IF(V245="","",IF(V245=0,"Same day","Overnight"))</f>
        <v/>
      </c>
      <c r="X245" s="18" t="str">
        <f aca="false">IF(OR(E245="",F245=""),"",IF(AND(E245&gt;=F245,OR(P245="",E245&lt;=P245)),"Yes","No"))</f>
        <v/>
      </c>
      <c r="Y245" s="20" t="str">
        <f aca="false">IF(A245="","",N(G245)-N(L245)-N(N245))</f>
        <v/>
      </c>
      <c r="Z245" s="21" t="str">
        <f aca="false">IF(OR(G245="",H245="",I245=""),"",ABS(H245-I245)*G245)</f>
        <v/>
      </c>
      <c r="AA245" s="22" t="str">
        <f aca="false">IF(OR(J245="",N(Z245)=0),"",ABS(J245-H245)/ABS(H245-I245))</f>
        <v/>
      </c>
      <c r="AB245" s="23" t="str">
        <f aca="false">IF(U245&lt;&gt;"Closed","",(N(L245)*N(M245)+N(N245)*N(O245)+Y245*Q245)/G245)</f>
        <v/>
      </c>
      <c r="AC245" s="24" t="str">
        <f aca="false">IF(U245&lt;&gt;"Closed","",IF($B245="Short",-1,1)*((N(M245)-H245)*N(L245)+(N(O245)-H245)*N(N245)+(Q245-H245)*Y245)-N(R245))</f>
        <v/>
      </c>
      <c r="AD245" s="25" t="str">
        <f aca="false">IF(OR(AC245="",N(Z245)=0),"",AC245/Z245)</f>
        <v/>
      </c>
      <c r="AE245" s="25" t="str">
        <f aca="false">IF(OR(S245="",N(Z245)=0),"",IF($B245="Short",-1,1)*(S245-H245)*G245/Z245)</f>
        <v/>
      </c>
      <c r="AF245" s="25" t="str">
        <f aca="false">IF(OR(T245="",N(Z245)=0),"",IF($B245="Short",-1,1)*(T245-H245)*G245/Z245)</f>
        <v/>
      </c>
      <c r="AG245" s="21" t="str">
        <f aca="false">IF(U245&lt;&gt;"Open","",Y245*MAX(0,IF($B245="Short",-1,1)*(H245-IF(K245="",I245,K245))))</f>
        <v/>
      </c>
      <c r="AH245" s="26" t="str">
        <f aca="false">IF(U245&lt;&gt;"Closed","",DATE(YEAR(P245),MONTH(P245),1))</f>
        <v/>
      </c>
      <c r="AI245" s="19" t="str">
        <f aca="false">IF(U245&lt;&gt;"Closed","",COUNTIFS($U$7:$U$506,"Closed",$P$7:$P$506,"&lt;"&amp;P245)+COUNTIFS($U$7:U245,"Closed",$P$7:P245,P245))</f>
        <v/>
      </c>
    </row>
    <row r="246" customFormat="false" ht="15" hidden="false" customHeight="false" outlineLevel="0" collapsed="false">
      <c r="A246" s="13"/>
      <c r="B246" s="48"/>
      <c r="C246" s="48"/>
      <c r="D246" s="48"/>
      <c r="E246" s="15"/>
      <c r="F246" s="15"/>
      <c r="G246" s="16"/>
      <c r="H246" s="17"/>
      <c r="I246" s="17"/>
      <c r="J246" s="17"/>
      <c r="K246" s="17"/>
      <c r="L246" s="16"/>
      <c r="M246" s="17"/>
      <c r="N246" s="16"/>
      <c r="O246" s="17"/>
      <c r="P246" s="15"/>
      <c r="Q246" s="17"/>
      <c r="R246" s="17"/>
      <c r="S246" s="17"/>
      <c r="T246" s="17"/>
      <c r="U246" s="18" t="str">
        <f aca="false">IF(A246="","",IF(N(G246)-N(L246)-N(N246)&lt;0,"Check shares",IF(AND(P246&lt;&gt;"",Q246&lt;&gt;""),"Closed","Open")))</f>
        <v/>
      </c>
      <c r="V246" s="19" t="str">
        <f aca="false">IF(OR(F246="",P246=""),"",NETWORKDAYS(F246,P246,Lists!$F$5:$F$40)-1)</f>
        <v/>
      </c>
      <c r="W246" s="18" t="str">
        <f aca="false">IF(V246="","",IF(V246=0,"Same day","Overnight"))</f>
        <v/>
      </c>
      <c r="X246" s="18" t="str">
        <f aca="false">IF(OR(E246="",F246=""),"",IF(AND(E246&gt;=F246,OR(P246="",E246&lt;=P246)),"Yes","No"))</f>
        <v/>
      </c>
      <c r="Y246" s="20" t="str">
        <f aca="false">IF(A246="","",N(G246)-N(L246)-N(N246))</f>
        <v/>
      </c>
      <c r="Z246" s="21" t="str">
        <f aca="false">IF(OR(G246="",H246="",I246=""),"",ABS(H246-I246)*G246)</f>
        <v/>
      </c>
      <c r="AA246" s="22" t="str">
        <f aca="false">IF(OR(J246="",N(Z246)=0),"",ABS(J246-H246)/ABS(H246-I246))</f>
        <v/>
      </c>
      <c r="AB246" s="23" t="str">
        <f aca="false">IF(U246&lt;&gt;"Closed","",(N(L246)*N(M246)+N(N246)*N(O246)+Y246*Q246)/G246)</f>
        <v/>
      </c>
      <c r="AC246" s="24" t="str">
        <f aca="false">IF(U246&lt;&gt;"Closed","",IF($B246="Short",-1,1)*((N(M246)-H246)*N(L246)+(N(O246)-H246)*N(N246)+(Q246-H246)*Y246)-N(R246))</f>
        <v/>
      </c>
      <c r="AD246" s="25" t="str">
        <f aca="false">IF(OR(AC246="",N(Z246)=0),"",AC246/Z246)</f>
        <v/>
      </c>
      <c r="AE246" s="25" t="str">
        <f aca="false">IF(OR(S246="",N(Z246)=0),"",IF($B246="Short",-1,1)*(S246-H246)*G246/Z246)</f>
        <v/>
      </c>
      <c r="AF246" s="25" t="str">
        <f aca="false">IF(OR(T246="",N(Z246)=0),"",IF($B246="Short",-1,1)*(T246-H246)*G246/Z246)</f>
        <v/>
      </c>
      <c r="AG246" s="21" t="str">
        <f aca="false">IF(U246&lt;&gt;"Open","",Y246*MAX(0,IF($B246="Short",-1,1)*(H246-IF(K246="",I246,K246))))</f>
        <v/>
      </c>
      <c r="AH246" s="26" t="str">
        <f aca="false">IF(U246&lt;&gt;"Closed","",DATE(YEAR(P246),MONTH(P246),1))</f>
        <v/>
      </c>
      <c r="AI246" s="19" t="str">
        <f aca="false">IF(U246&lt;&gt;"Closed","",COUNTIFS($U$7:$U$506,"Closed",$P$7:$P$506,"&lt;"&amp;P246)+COUNTIFS($U$7:U246,"Closed",$P$7:P246,P246))</f>
        <v/>
      </c>
    </row>
    <row r="247" customFormat="false" ht="15" hidden="false" customHeight="false" outlineLevel="0" collapsed="false">
      <c r="A247" s="13"/>
      <c r="B247" s="48"/>
      <c r="C247" s="48"/>
      <c r="D247" s="48"/>
      <c r="E247" s="15"/>
      <c r="F247" s="15"/>
      <c r="G247" s="16"/>
      <c r="H247" s="17"/>
      <c r="I247" s="17"/>
      <c r="J247" s="17"/>
      <c r="K247" s="17"/>
      <c r="L247" s="16"/>
      <c r="M247" s="17"/>
      <c r="N247" s="16"/>
      <c r="O247" s="17"/>
      <c r="P247" s="15"/>
      <c r="Q247" s="17"/>
      <c r="R247" s="17"/>
      <c r="S247" s="17"/>
      <c r="T247" s="17"/>
      <c r="U247" s="18" t="str">
        <f aca="false">IF(A247="","",IF(N(G247)-N(L247)-N(N247)&lt;0,"Check shares",IF(AND(P247&lt;&gt;"",Q247&lt;&gt;""),"Closed","Open")))</f>
        <v/>
      </c>
      <c r="V247" s="19" t="str">
        <f aca="false">IF(OR(F247="",P247=""),"",NETWORKDAYS(F247,P247,Lists!$F$5:$F$40)-1)</f>
        <v/>
      </c>
      <c r="W247" s="18" t="str">
        <f aca="false">IF(V247="","",IF(V247=0,"Same day","Overnight"))</f>
        <v/>
      </c>
      <c r="X247" s="18" t="str">
        <f aca="false">IF(OR(E247="",F247=""),"",IF(AND(E247&gt;=F247,OR(P247="",E247&lt;=P247)),"Yes","No"))</f>
        <v/>
      </c>
      <c r="Y247" s="20" t="str">
        <f aca="false">IF(A247="","",N(G247)-N(L247)-N(N247))</f>
        <v/>
      </c>
      <c r="Z247" s="21" t="str">
        <f aca="false">IF(OR(G247="",H247="",I247=""),"",ABS(H247-I247)*G247)</f>
        <v/>
      </c>
      <c r="AA247" s="22" t="str">
        <f aca="false">IF(OR(J247="",N(Z247)=0),"",ABS(J247-H247)/ABS(H247-I247))</f>
        <v/>
      </c>
      <c r="AB247" s="23" t="str">
        <f aca="false">IF(U247&lt;&gt;"Closed","",(N(L247)*N(M247)+N(N247)*N(O247)+Y247*Q247)/G247)</f>
        <v/>
      </c>
      <c r="AC247" s="24" t="str">
        <f aca="false">IF(U247&lt;&gt;"Closed","",IF($B247="Short",-1,1)*((N(M247)-H247)*N(L247)+(N(O247)-H247)*N(N247)+(Q247-H247)*Y247)-N(R247))</f>
        <v/>
      </c>
      <c r="AD247" s="25" t="str">
        <f aca="false">IF(OR(AC247="",N(Z247)=0),"",AC247/Z247)</f>
        <v/>
      </c>
      <c r="AE247" s="25" t="str">
        <f aca="false">IF(OR(S247="",N(Z247)=0),"",IF($B247="Short",-1,1)*(S247-H247)*G247/Z247)</f>
        <v/>
      </c>
      <c r="AF247" s="25" t="str">
        <f aca="false">IF(OR(T247="",N(Z247)=0),"",IF($B247="Short",-1,1)*(T247-H247)*G247/Z247)</f>
        <v/>
      </c>
      <c r="AG247" s="21" t="str">
        <f aca="false">IF(U247&lt;&gt;"Open","",Y247*MAX(0,IF($B247="Short",-1,1)*(H247-IF(K247="",I247,K247))))</f>
        <v/>
      </c>
      <c r="AH247" s="26" t="str">
        <f aca="false">IF(U247&lt;&gt;"Closed","",DATE(YEAR(P247),MONTH(P247),1))</f>
        <v/>
      </c>
      <c r="AI247" s="19" t="str">
        <f aca="false">IF(U247&lt;&gt;"Closed","",COUNTIFS($U$7:$U$506,"Closed",$P$7:$P$506,"&lt;"&amp;P247)+COUNTIFS($U$7:U247,"Closed",$P$7:P247,P247))</f>
        <v/>
      </c>
    </row>
    <row r="248" customFormat="false" ht="15" hidden="false" customHeight="false" outlineLevel="0" collapsed="false">
      <c r="A248" s="13"/>
      <c r="B248" s="48"/>
      <c r="C248" s="48"/>
      <c r="D248" s="48"/>
      <c r="E248" s="15"/>
      <c r="F248" s="15"/>
      <c r="G248" s="16"/>
      <c r="H248" s="17"/>
      <c r="I248" s="17"/>
      <c r="J248" s="17"/>
      <c r="K248" s="17"/>
      <c r="L248" s="16"/>
      <c r="M248" s="17"/>
      <c r="N248" s="16"/>
      <c r="O248" s="17"/>
      <c r="P248" s="15"/>
      <c r="Q248" s="17"/>
      <c r="R248" s="17"/>
      <c r="S248" s="17"/>
      <c r="T248" s="17"/>
      <c r="U248" s="18" t="str">
        <f aca="false">IF(A248="","",IF(N(G248)-N(L248)-N(N248)&lt;0,"Check shares",IF(AND(P248&lt;&gt;"",Q248&lt;&gt;""),"Closed","Open")))</f>
        <v/>
      </c>
      <c r="V248" s="19" t="str">
        <f aca="false">IF(OR(F248="",P248=""),"",NETWORKDAYS(F248,P248,Lists!$F$5:$F$40)-1)</f>
        <v/>
      </c>
      <c r="W248" s="18" t="str">
        <f aca="false">IF(V248="","",IF(V248=0,"Same day","Overnight"))</f>
        <v/>
      </c>
      <c r="X248" s="18" t="str">
        <f aca="false">IF(OR(E248="",F248=""),"",IF(AND(E248&gt;=F248,OR(P248="",E248&lt;=P248)),"Yes","No"))</f>
        <v/>
      </c>
      <c r="Y248" s="20" t="str">
        <f aca="false">IF(A248="","",N(G248)-N(L248)-N(N248))</f>
        <v/>
      </c>
      <c r="Z248" s="21" t="str">
        <f aca="false">IF(OR(G248="",H248="",I248=""),"",ABS(H248-I248)*G248)</f>
        <v/>
      </c>
      <c r="AA248" s="22" t="str">
        <f aca="false">IF(OR(J248="",N(Z248)=0),"",ABS(J248-H248)/ABS(H248-I248))</f>
        <v/>
      </c>
      <c r="AB248" s="23" t="str">
        <f aca="false">IF(U248&lt;&gt;"Closed","",(N(L248)*N(M248)+N(N248)*N(O248)+Y248*Q248)/G248)</f>
        <v/>
      </c>
      <c r="AC248" s="24" t="str">
        <f aca="false">IF(U248&lt;&gt;"Closed","",IF($B248="Short",-1,1)*((N(M248)-H248)*N(L248)+(N(O248)-H248)*N(N248)+(Q248-H248)*Y248)-N(R248))</f>
        <v/>
      </c>
      <c r="AD248" s="25" t="str">
        <f aca="false">IF(OR(AC248="",N(Z248)=0),"",AC248/Z248)</f>
        <v/>
      </c>
      <c r="AE248" s="25" t="str">
        <f aca="false">IF(OR(S248="",N(Z248)=0),"",IF($B248="Short",-1,1)*(S248-H248)*G248/Z248)</f>
        <v/>
      </c>
      <c r="AF248" s="25" t="str">
        <f aca="false">IF(OR(T248="",N(Z248)=0),"",IF($B248="Short",-1,1)*(T248-H248)*G248/Z248)</f>
        <v/>
      </c>
      <c r="AG248" s="21" t="str">
        <f aca="false">IF(U248&lt;&gt;"Open","",Y248*MAX(0,IF($B248="Short",-1,1)*(H248-IF(K248="",I248,K248))))</f>
        <v/>
      </c>
      <c r="AH248" s="26" t="str">
        <f aca="false">IF(U248&lt;&gt;"Closed","",DATE(YEAR(P248),MONTH(P248),1))</f>
        <v/>
      </c>
      <c r="AI248" s="19" t="str">
        <f aca="false">IF(U248&lt;&gt;"Closed","",COUNTIFS($U$7:$U$506,"Closed",$P$7:$P$506,"&lt;"&amp;P248)+COUNTIFS($U$7:U248,"Closed",$P$7:P248,P248))</f>
        <v/>
      </c>
    </row>
    <row r="249" customFormat="false" ht="15" hidden="false" customHeight="false" outlineLevel="0" collapsed="false">
      <c r="A249" s="13"/>
      <c r="B249" s="48"/>
      <c r="C249" s="48"/>
      <c r="D249" s="48"/>
      <c r="E249" s="15"/>
      <c r="F249" s="15"/>
      <c r="G249" s="16"/>
      <c r="H249" s="17"/>
      <c r="I249" s="17"/>
      <c r="J249" s="17"/>
      <c r="K249" s="17"/>
      <c r="L249" s="16"/>
      <c r="M249" s="17"/>
      <c r="N249" s="16"/>
      <c r="O249" s="17"/>
      <c r="P249" s="15"/>
      <c r="Q249" s="17"/>
      <c r="R249" s="17"/>
      <c r="S249" s="17"/>
      <c r="T249" s="17"/>
      <c r="U249" s="18" t="str">
        <f aca="false">IF(A249="","",IF(N(G249)-N(L249)-N(N249)&lt;0,"Check shares",IF(AND(P249&lt;&gt;"",Q249&lt;&gt;""),"Closed","Open")))</f>
        <v/>
      </c>
      <c r="V249" s="19" t="str">
        <f aca="false">IF(OR(F249="",P249=""),"",NETWORKDAYS(F249,P249,Lists!$F$5:$F$40)-1)</f>
        <v/>
      </c>
      <c r="W249" s="18" t="str">
        <f aca="false">IF(V249="","",IF(V249=0,"Same day","Overnight"))</f>
        <v/>
      </c>
      <c r="X249" s="18" t="str">
        <f aca="false">IF(OR(E249="",F249=""),"",IF(AND(E249&gt;=F249,OR(P249="",E249&lt;=P249)),"Yes","No"))</f>
        <v/>
      </c>
      <c r="Y249" s="20" t="str">
        <f aca="false">IF(A249="","",N(G249)-N(L249)-N(N249))</f>
        <v/>
      </c>
      <c r="Z249" s="21" t="str">
        <f aca="false">IF(OR(G249="",H249="",I249=""),"",ABS(H249-I249)*G249)</f>
        <v/>
      </c>
      <c r="AA249" s="22" t="str">
        <f aca="false">IF(OR(J249="",N(Z249)=0),"",ABS(J249-H249)/ABS(H249-I249))</f>
        <v/>
      </c>
      <c r="AB249" s="23" t="str">
        <f aca="false">IF(U249&lt;&gt;"Closed","",(N(L249)*N(M249)+N(N249)*N(O249)+Y249*Q249)/G249)</f>
        <v/>
      </c>
      <c r="AC249" s="24" t="str">
        <f aca="false">IF(U249&lt;&gt;"Closed","",IF($B249="Short",-1,1)*((N(M249)-H249)*N(L249)+(N(O249)-H249)*N(N249)+(Q249-H249)*Y249)-N(R249))</f>
        <v/>
      </c>
      <c r="AD249" s="25" t="str">
        <f aca="false">IF(OR(AC249="",N(Z249)=0),"",AC249/Z249)</f>
        <v/>
      </c>
      <c r="AE249" s="25" t="str">
        <f aca="false">IF(OR(S249="",N(Z249)=0),"",IF($B249="Short",-1,1)*(S249-H249)*G249/Z249)</f>
        <v/>
      </c>
      <c r="AF249" s="25" t="str">
        <f aca="false">IF(OR(T249="",N(Z249)=0),"",IF($B249="Short",-1,1)*(T249-H249)*G249/Z249)</f>
        <v/>
      </c>
      <c r="AG249" s="21" t="str">
        <f aca="false">IF(U249&lt;&gt;"Open","",Y249*MAX(0,IF($B249="Short",-1,1)*(H249-IF(K249="",I249,K249))))</f>
        <v/>
      </c>
      <c r="AH249" s="26" t="str">
        <f aca="false">IF(U249&lt;&gt;"Closed","",DATE(YEAR(P249),MONTH(P249),1))</f>
        <v/>
      </c>
      <c r="AI249" s="19" t="str">
        <f aca="false">IF(U249&lt;&gt;"Closed","",COUNTIFS($U$7:$U$506,"Closed",$P$7:$P$506,"&lt;"&amp;P249)+COUNTIFS($U$7:U249,"Closed",$P$7:P249,P249))</f>
        <v/>
      </c>
    </row>
    <row r="250" customFormat="false" ht="15" hidden="false" customHeight="false" outlineLevel="0" collapsed="false">
      <c r="A250" s="13"/>
      <c r="B250" s="48"/>
      <c r="C250" s="48"/>
      <c r="D250" s="48"/>
      <c r="E250" s="15"/>
      <c r="F250" s="15"/>
      <c r="G250" s="16"/>
      <c r="H250" s="17"/>
      <c r="I250" s="17"/>
      <c r="J250" s="17"/>
      <c r="K250" s="17"/>
      <c r="L250" s="16"/>
      <c r="M250" s="17"/>
      <c r="N250" s="16"/>
      <c r="O250" s="17"/>
      <c r="P250" s="15"/>
      <c r="Q250" s="17"/>
      <c r="R250" s="17"/>
      <c r="S250" s="17"/>
      <c r="T250" s="17"/>
      <c r="U250" s="18" t="str">
        <f aca="false">IF(A250="","",IF(N(G250)-N(L250)-N(N250)&lt;0,"Check shares",IF(AND(P250&lt;&gt;"",Q250&lt;&gt;""),"Closed","Open")))</f>
        <v/>
      </c>
      <c r="V250" s="19" t="str">
        <f aca="false">IF(OR(F250="",P250=""),"",NETWORKDAYS(F250,P250,Lists!$F$5:$F$40)-1)</f>
        <v/>
      </c>
      <c r="W250" s="18" t="str">
        <f aca="false">IF(V250="","",IF(V250=0,"Same day","Overnight"))</f>
        <v/>
      </c>
      <c r="X250" s="18" t="str">
        <f aca="false">IF(OR(E250="",F250=""),"",IF(AND(E250&gt;=F250,OR(P250="",E250&lt;=P250)),"Yes","No"))</f>
        <v/>
      </c>
      <c r="Y250" s="20" t="str">
        <f aca="false">IF(A250="","",N(G250)-N(L250)-N(N250))</f>
        <v/>
      </c>
      <c r="Z250" s="21" t="str">
        <f aca="false">IF(OR(G250="",H250="",I250=""),"",ABS(H250-I250)*G250)</f>
        <v/>
      </c>
      <c r="AA250" s="22" t="str">
        <f aca="false">IF(OR(J250="",N(Z250)=0),"",ABS(J250-H250)/ABS(H250-I250))</f>
        <v/>
      </c>
      <c r="AB250" s="23" t="str">
        <f aca="false">IF(U250&lt;&gt;"Closed","",(N(L250)*N(M250)+N(N250)*N(O250)+Y250*Q250)/G250)</f>
        <v/>
      </c>
      <c r="AC250" s="24" t="str">
        <f aca="false">IF(U250&lt;&gt;"Closed","",IF($B250="Short",-1,1)*((N(M250)-H250)*N(L250)+(N(O250)-H250)*N(N250)+(Q250-H250)*Y250)-N(R250))</f>
        <v/>
      </c>
      <c r="AD250" s="25" t="str">
        <f aca="false">IF(OR(AC250="",N(Z250)=0),"",AC250/Z250)</f>
        <v/>
      </c>
      <c r="AE250" s="25" t="str">
        <f aca="false">IF(OR(S250="",N(Z250)=0),"",IF($B250="Short",-1,1)*(S250-H250)*G250/Z250)</f>
        <v/>
      </c>
      <c r="AF250" s="25" t="str">
        <f aca="false">IF(OR(T250="",N(Z250)=0),"",IF($B250="Short",-1,1)*(T250-H250)*G250/Z250)</f>
        <v/>
      </c>
      <c r="AG250" s="21" t="str">
        <f aca="false">IF(U250&lt;&gt;"Open","",Y250*MAX(0,IF($B250="Short",-1,1)*(H250-IF(K250="",I250,K250))))</f>
        <v/>
      </c>
      <c r="AH250" s="26" t="str">
        <f aca="false">IF(U250&lt;&gt;"Closed","",DATE(YEAR(P250),MONTH(P250),1))</f>
        <v/>
      </c>
      <c r="AI250" s="19" t="str">
        <f aca="false">IF(U250&lt;&gt;"Closed","",COUNTIFS($U$7:$U$506,"Closed",$P$7:$P$506,"&lt;"&amp;P250)+COUNTIFS($U$7:U250,"Closed",$P$7:P250,P250))</f>
        <v/>
      </c>
    </row>
    <row r="251" customFormat="false" ht="15" hidden="false" customHeight="false" outlineLevel="0" collapsed="false">
      <c r="A251" s="13"/>
      <c r="B251" s="48"/>
      <c r="C251" s="48"/>
      <c r="D251" s="48"/>
      <c r="E251" s="15"/>
      <c r="F251" s="15"/>
      <c r="G251" s="16"/>
      <c r="H251" s="17"/>
      <c r="I251" s="17"/>
      <c r="J251" s="17"/>
      <c r="K251" s="17"/>
      <c r="L251" s="16"/>
      <c r="M251" s="17"/>
      <c r="N251" s="16"/>
      <c r="O251" s="17"/>
      <c r="P251" s="15"/>
      <c r="Q251" s="17"/>
      <c r="R251" s="17"/>
      <c r="S251" s="17"/>
      <c r="T251" s="17"/>
      <c r="U251" s="18" t="str">
        <f aca="false">IF(A251="","",IF(N(G251)-N(L251)-N(N251)&lt;0,"Check shares",IF(AND(P251&lt;&gt;"",Q251&lt;&gt;""),"Closed","Open")))</f>
        <v/>
      </c>
      <c r="V251" s="19" t="str">
        <f aca="false">IF(OR(F251="",P251=""),"",NETWORKDAYS(F251,P251,Lists!$F$5:$F$40)-1)</f>
        <v/>
      </c>
      <c r="W251" s="18" t="str">
        <f aca="false">IF(V251="","",IF(V251=0,"Same day","Overnight"))</f>
        <v/>
      </c>
      <c r="X251" s="18" t="str">
        <f aca="false">IF(OR(E251="",F251=""),"",IF(AND(E251&gt;=F251,OR(P251="",E251&lt;=P251)),"Yes","No"))</f>
        <v/>
      </c>
      <c r="Y251" s="20" t="str">
        <f aca="false">IF(A251="","",N(G251)-N(L251)-N(N251))</f>
        <v/>
      </c>
      <c r="Z251" s="21" t="str">
        <f aca="false">IF(OR(G251="",H251="",I251=""),"",ABS(H251-I251)*G251)</f>
        <v/>
      </c>
      <c r="AA251" s="22" t="str">
        <f aca="false">IF(OR(J251="",N(Z251)=0),"",ABS(J251-H251)/ABS(H251-I251))</f>
        <v/>
      </c>
      <c r="AB251" s="23" t="str">
        <f aca="false">IF(U251&lt;&gt;"Closed","",(N(L251)*N(M251)+N(N251)*N(O251)+Y251*Q251)/G251)</f>
        <v/>
      </c>
      <c r="AC251" s="24" t="str">
        <f aca="false">IF(U251&lt;&gt;"Closed","",IF($B251="Short",-1,1)*((N(M251)-H251)*N(L251)+(N(O251)-H251)*N(N251)+(Q251-H251)*Y251)-N(R251))</f>
        <v/>
      </c>
      <c r="AD251" s="25" t="str">
        <f aca="false">IF(OR(AC251="",N(Z251)=0),"",AC251/Z251)</f>
        <v/>
      </c>
      <c r="AE251" s="25" t="str">
        <f aca="false">IF(OR(S251="",N(Z251)=0),"",IF($B251="Short",-1,1)*(S251-H251)*G251/Z251)</f>
        <v/>
      </c>
      <c r="AF251" s="25" t="str">
        <f aca="false">IF(OR(T251="",N(Z251)=0),"",IF($B251="Short",-1,1)*(T251-H251)*G251/Z251)</f>
        <v/>
      </c>
      <c r="AG251" s="21" t="str">
        <f aca="false">IF(U251&lt;&gt;"Open","",Y251*MAX(0,IF($B251="Short",-1,1)*(H251-IF(K251="",I251,K251))))</f>
        <v/>
      </c>
      <c r="AH251" s="26" t="str">
        <f aca="false">IF(U251&lt;&gt;"Closed","",DATE(YEAR(P251),MONTH(P251),1))</f>
        <v/>
      </c>
      <c r="AI251" s="19" t="str">
        <f aca="false">IF(U251&lt;&gt;"Closed","",COUNTIFS($U$7:$U$506,"Closed",$P$7:$P$506,"&lt;"&amp;P251)+COUNTIFS($U$7:U251,"Closed",$P$7:P251,P251))</f>
        <v/>
      </c>
    </row>
    <row r="252" customFormat="false" ht="15" hidden="false" customHeight="false" outlineLevel="0" collapsed="false">
      <c r="A252" s="13"/>
      <c r="B252" s="48"/>
      <c r="C252" s="48"/>
      <c r="D252" s="48"/>
      <c r="E252" s="15"/>
      <c r="F252" s="15"/>
      <c r="G252" s="16"/>
      <c r="H252" s="17"/>
      <c r="I252" s="17"/>
      <c r="J252" s="17"/>
      <c r="K252" s="17"/>
      <c r="L252" s="16"/>
      <c r="M252" s="17"/>
      <c r="N252" s="16"/>
      <c r="O252" s="17"/>
      <c r="P252" s="15"/>
      <c r="Q252" s="17"/>
      <c r="R252" s="17"/>
      <c r="S252" s="17"/>
      <c r="T252" s="17"/>
      <c r="U252" s="18" t="str">
        <f aca="false">IF(A252="","",IF(N(G252)-N(L252)-N(N252)&lt;0,"Check shares",IF(AND(P252&lt;&gt;"",Q252&lt;&gt;""),"Closed","Open")))</f>
        <v/>
      </c>
      <c r="V252" s="19" t="str">
        <f aca="false">IF(OR(F252="",P252=""),"",NETWORKDAYS(F252,P252,Lists!$F$5:$F$40)-1)</f>
        <v/>
      </c>
      <c r="W252" s="18" t="str">
        <f aca="false">IF(V252="","",IF(V252=0,"Same day","Overnight"))</f>
        <v/>
      </c>
      <c r="X252" s="18" t="str">
        <f aca="false">IF(OR(E252="",F252=""),"",IF(AND(E252&gt;=F252,OR(P252="",E252&lt;=P252)),"Yes","No"))</f>
        <v/>
      </c>
      <c r="Y252" s="20" t="str">
        <f aca="false">IF(A252="","",N(G252)-N(L252)-N(N252))</f>
        <v/>
      </c>
      <c r="Z252" s="21" t="str">
        <f aca="false">IF(OR(G252="",H252="",I252=""),"",ABS(H252-I252)*G252)</f>
        <v/>
      </c>
      <c r="AA252" s="22" t="str">
        <f aca="false">IF(OR(J252="",N(Z252)=0),"",ABS(J252-H252)/ABS(H252-I252))</f>
        <v/>
      </c>
      <c r="AB252" s="23" t="str">
        <f aca="false">IF(U252&lt;&gt;"Closed","",(N(L252)*N(M252)+N(N252)*N(O252)+Y252*Q252)/G252)</f>
        <v/>
      </c>
      <c r="AC252" s="24" t="str">
        <f aca="false">IF(U252&lt;&gt;"Closed","",IF($B252="Short",-1,1)*((N(M252)-H252)*N(L252)+(N(O252)-H252)*N(N252)+(Q252-H252)*Y252)-N(R252))</f>
        <v/>
      </c>
      <c r="AD252" s="25" t="str">
        <f aca="false">IF(OR(AC252="",N(Z252)=0),"",AC252/Z252)</f>
        <v/>
      </c>
      <c r="AE252" s="25" t="str">
        <f aca="false">IF(OR(S252="",N(Z252)=0),"",IF($B252="Short",-1,1)*(S252-H252)*G252/Z252)</f>
        <v/>
      </c>
      <c r="AF252" s="25" t="str">
        <f aca="false">IF(OR(T252="",N(Z252)=0),"",IF($B252="Short",-1,1)*(T252-H252)*G252/Z252)</f>
        <v/>
      </c>
      <c r="AG252" s="21" t="str">
        <f aca="false">IF(U252&lt;&gt;"Open","",Y252*MAX(0,IF($B252="Short",-1,1)*(H252-IF(K252="",I252,K252))))</f>
        <v/>
      </c>
      <c r="AH252" s="26" t="str">
        <f aca="false">IF(U252&lt;&gt;"Closed","",DATE(YEAR(P252),MONTH(P252),1))</f>
        <v/>
      </c>
      <c r="AI252" s="19" t="str">
        <f aca="false">IF(U252&lt;&gt;"Closed","",COUNTIFS($U$7:$U$506,"Closed",$P$7:$P$506,"&lt;"&amp;P252)+COUNTIFS($U$7:U252,"Closed",$P$7:P252,P252))</f>
        <v/>
      </c>
    </row>
    <row r="253" customFormat="false" ht="15" hidden="false" customHeight="false" outlineLevel="0" collapsed="false">
      <c r="A253" s="13"/>
      <c r="B253" s="48"/>
      <c r="C253" s="48"/>
      <c r="D253" s="48"/>
      <c r="E253" s="15"/>
      <c r="F253" s="15"/>
      <c r="G253" s="16"/>
      <c r="H253" s="17"/>
      <c r="I253" s="17"/>
      <c r="J253" s="17"/>
      <c r="K253" s="17"/>
      <c r="L253" s="16"/>
      <c r="M253" s="17"/>
      <c r="N253" s="16"/>
      <c r="O253" s="17"/>
      <c r="P253" s="15"/>
      <c r="Q253" s="17"/>
      <c r="R253" s="17"/>
      <c r="S253" s="17"/>
      <c r="T253" s="17"/>
      <c r="U253" s="18" t="str">
        <f aca="false">IF(A253="","",IF(N(G253)-N(L253)-N(N253)&lt;0,"Check shares",IF(AND(P253&lt;&gt;"",Q253&lt;&gt;""),"Closed","Open")))</f>
        <v/>
      </c>
      <c r="V253" s="19" t="str">
        <f aca="false">IF(OR(F253="",P253=""),"",NETWORKDAYS(F253,P253,Lists!$F$5:$F$40)-1)</f>
        <v/>
      </c>
      <c r="W253" s="18" t="str">
        <f aca="false">IF(V253="","",IF(V253=0,"Same day","Overnight"))</f>
        <v/>
      </c>
      <c r="X253" s="18" t="str">
        <f aca="false">IF(OR(E253="",F253=""),"",IF(AND(E253&gt;=F253,OR(P253="",E253&lt;=P253)),"Yes","No"))</f>
        <v/>
      </c>
      <c r="Y253" s="20" t="str">
        <f aca="false">IF(A253="","",N(G253)-N(L253)-N(N253))</f>
        <v/>
      </c>
      <c r="Z253" s="21" t="str">
        <f aca="false">IF(OR(G253="",H253="",I253=""),"",ABS(H253-I253)*G253)</f>
        <v/>
      </c>
      <c r="AA253" s="22" t="str">
        <f aca="false">IF(OR(J253="",N(Z253)=0),"",ABS(J253-H253)/ABS(H253-I253))</f>
        <v/>
      </c>
      <c r="AB253" s="23" t="str">
        <f aca="false">IF(U253&lt;&gt;"Closed","",(N(L253)*N(M253)+N(N253)*N(O253)+Y253*Q253)/G253)</f>
        <v/>
      </c>
      <c r="AC253" s="24" t="str">
        <f aca="false">IF(U253&lt;&gt;"Closed","",IF($B253="Short",-1,1)*((N(M253)-H253)*N(L253)+(N(O253)-H253)*N(N253)+(Q253-H253)*Y253)-N(R253))</f>
        <v/>
      </c>
      <c r="AD253" s="25" t="str">
        <f aca="false">IF(OR(AC253="",N(Z253)=0),"",AC253/Z253)</f>
        <v/>
      </c>
      <c r="AE253" s="25" t="str">
        <f aca="false">IF(OR(S253="",N(Z253)=0),"",IF($B253="Short",-1,1)*(S253-H253)*G253/Z253)</f>
        <v/>
      </c>
      <c r="AF253" s="25" t="str">
        <f aca="false">IF(OR(T253="",N(Z253)=0),"",IF($B253="Short",-1,1)*(T253-H253)*G253/Z253)</f>
        <v/>
      </c>
      <c r="AG253" s="21" t="str">
        <f aca="false">IF(U253&lt;&gt;"Open","",Y253*MAX(0,IF($B253="Short",-1,1)*(H253-IF(K253="",I253,K253))))</f>
        <v/>
      </c>
      <c r="AH253" s="26" t="str">
        <f aca="false">IF(U253&lt;&gt;"Closed","",DATE(YEAR(P253),MONTH(P253),1))</f>
        <v/>
      </c>
      <c r="AI253" s="19" t="str">
        <f aca="false">IF(U253&lt;&gt;"Closed","",COUNTIFS($U$7:$U$506,"Closed",$P$7:$P$506,"&lt;"&amp;P253)+COUNTIFS($U$7:U253,"Closed",$P$7:P253,P253))</f>
        <v/>
      </c>
    </row>
    <row r="254" customFormat="false" ht="15" hidden="false" customHeight="false" outlineLevel="0" collapsed="false">
      <c r="A254" s="13"/>
      <c r="B254" s="48"/>
      <c r="C254" s="48"/>
      <c r="D254" s="48"/>
      <c r="E254" s="15"/>
      <c r="F254" s="15"/>
      <c r="G254" s="16"/>
      <c r="H254" s="17"/>
      <c r="I254" s="17"/>
      <c r="J254" s="17"/>
      <c r="K254" s="17"/>
      <c r="L254" s="16"/>
      <c r="M254" s="17"/>
      <c r="N254" s="16"/>
      <c r="O254" s="17"/>
      <c r="P254" s="15"/>
      <c r="Q254" s="17"/>
      <c r="R254" s="17"/>
      <c r="S254" s="17"/>
      <c r="T254" s="17"/>
      <c r="U254" s="18" t="str">
        <f aca="false">IF(A254="","",IF(N(G254)-N(L254)-N(N254)&lt;0,"Check shares",IF(AND(P254&lt;&gt;"",Q254&lt;&gt;""),"Closed","Open")))</f>
        <v/>
      </c>
      <c r="V254" s="19" t="str">
        <f aca="false">IF(OR(F254="",P254=""),"",NETWORKDAYS(F254,P254,Lists!$F$5:$F$40)-1)</f>
        <v/>
      </c>
      <c r="W254" s="18" t="str">
        <f aca="false">IF(V254="","",IF(V254=0,"Same day","Overnight"))</f>
        <v/>
      </c>
      <c r="X254" s="18" t="str">
        <f aca="false">IF(OR(E254="",F254=""),"",IF(AND(E254&gt;=F254,OR(P254="",E254&lt;=P254)),"Yes","No"))</f>
        <v/>
      </c>
      <c r="Y254" s="20" t="str">
        <f aca="false">IF(A254="","",N(G254)-N(L254)-N(N254))</f>
        <v/>
      </c>
      <c r="Z254" s="21" t="str">
        <f aca="false">IF(OR(G254="",H254="",I254=""),"",ABS(H254-I254)*G254)</f>
        <v/>
      </c>
      <c r="AA254" s="22" t="str">
        <f aca="false">IF(OR(J254="",N(Z254)=0),"",ABS(J254-H254)/ABS(H254-I254))</f>
        <v/>
      </c>
      <c r="AB254" s="23" t="str">
        <f aca="false">IF(U254&lt;&gt;"Closed","",(N(L254)*N(M254)+N(N254)*N(O254)+Y254*Q254)/G254)</f>
        <v/>
      </c>
      <c r="AC254" s="24" t="str">
        <f aca="false">IF(U254&lt;&gt;"Closed","",IF($B254="Short",-1,1)*((N(M254)-H254)*N(L254)+(N(O254)-H254)*N(N254)+(Q254-H254)*Y254)-N(R254))</f>
        <v/>
      </c>
      <c r="AD254" s="25" t="str">
        <f aca="false">IF(OR(AC254="",N(Z254)=0),"",AC254/Z254)</f>
        <v/>
      </c>
      <c r="AE254" s="25" t="str">
        <f aca="false">IF(OR(S254="",N(Z254)=0),"",IF($B254="Short",-1,1)*(S254-H254)*G254/Z254)</f>
        <v/>
      </c>
      <c r="AF254" s="25" t="str">
        <f aca="false">IF(OR(T254="",N(Z254)=0),"",IF($B254="Short",-1,1)*(T254-H254)*G254/Z254)</f>
        <v/>
      </c>
      <c r="AG254" s="21" t="str">
        <f aca="false">IF(U254&lt;&gt;"Open","",Y254*MAX(0,IF($B254="Short",-1,1)*(H254-IF(K254="",I254,K254))))</f>
        <v/>
      </c>
      <c r="AH254" s="26" t="str">
        <f aca="false">IF(U254&lt;&gt;"Closed","",DATE(YEAR(P254),MONTH(P254),1))</f>
        <v/>
      </c>
      <c r="AI254" s="19" t="str">
        <f aca="false">IF(U254&lt;&gt;"Closed","",COUNTIFS($U$7:$U$506,"Closed",$P$7:$P$506,"&lt;"&amp;P254)+COUNTIFS($U$7:U254,"Closed",$P$7:P254,P254))</f>
        <v/>
      </c>
    </row>
    <row r="255" customFormat="false" ht="15" hidden="false" customHeight="false" outlineLevel="0" collapsed="false">
      <c r="A255" s="13"/>
      <c r="B255" s="48"/>
      <c r="C255" s="48"/>
      <c r="D255" s="48"/>
      <c r="E255" s="15"/>
      <c r="F255" s="15"/>
      <c r="G255" s="16"/>
      <c r="H255" s="17"/>
      <c r="I255" s="17"/>
      <c r="J255" s="17"/>
      <c r="K255" s="17"/>
      <c r="L255" s="16"/>
      <c r="M255" s="17"/>
      <c r="N255" s="16"/>
      <c r="O255" s="17"/>
      <c r="P255" s="15"/>
      <c r="Q255" s="17"/>
      <c r="R255" s="17"/>
      <c r="S255" s="17"/>
      <c r="T255" s="17"/>
      <c r="U255" s="18" t="str">
        <f aca="false">IF(A255="","",IF(N(G255)-N(L255)-N(N255)&lt;0,"Check shares",IF(AND(P255&lt;&gt;"",Q255&lt;&gt;""),"Closed","Open")))</f>
        <v/>
      </c>
      <c r="V255" s="19" t="str">
        <f aca="false">IF(OR(F255="",P255=""),"",NETWORKDAYS(F255,P255,Lists!$F$5:$F$40)-1)</f>
        <v/>
      </c>
      <c r="W255" s="18" t="str">
        <f aca="false">IF(V255="","",IF(V255=0,"Same day","Overnight"))</f>
        <v/>
      </c>
      <c r="X255" s="18" t="str">
        <f aca="false">IF(OR(E255="",F255=""),"",IF(AND(E255&gt;=F255,OR(P255="",E255&lt;=P255)),"Yes","No"))</f>
        <v/>
      </c>
      <c r="Y255" s="20" t="str">
        <f aca="false">IF(A255="","",N(G255)-N(L255)-N(N255))</f>
        <v/>
      </c>
      <c r="Z255" s="21" t="str">
        <f aca="false">IF(OR(G255="",H255="",I255=""),"",ABS(H255-I255)*G255)</f>
        <v/>
      </c>
      <c r="AA255" s="22" t="str">
        <f aca="false">IF(OR(J255="",N(Z255)=0),"",ABS(J255-H255)/ABS(H255-I255))</f>
        <v/>
      </c>
      <c r="AB255" s="23" t="str">
        <f aca="false">IF(U255&lt;&gt;"Closed","",(N(L255)*N(M255)+N(N255)*N(O255)+Y255*Q255)/G255)</f>
        <v/>
      </c>
      <c r="AC255" s="24" t="str">
        <f aca="false">IF(U255&lt;&gt;"Closed","",IF($B255="Short",-1,1)*((N(M255)-H255)*N(L255)+(N(O255)-H255)*N(N255)+(Q255-H255)*Y255)-N(R255))</f>
        <v/>
      </c>
      <c r="AD255" s="25" t="str">
        <f aca="false">IF(OR(AC255="",N(Z255)=0),"",AC255/Z255)</f>
        <v/>
      </c>
      <c r="AE255" s="25" t="str">
        <f aca="false">IF(OR(S255="",N(Z255)=0),"",IF($B255="Short",-1,1)*(S255-H255)*G255/Z255)</f>
        <v/>
      </c>
      <c r="AF255" s="25" t="str">
        <f aca="false">IF(OR(T255="",N(Z255)=0),"",IF($B255="Short",-1,1)*(T255-H255)*G255/Z255)</f>
        <v/>
      </c>
      <c r="AG255" s="21" t="str">
        <f aca="false">IF(U255&lt;&gt;"Open","",Y255*MAX(0,IF($B255="Short",-1,1)*(H255-IF(K255="",I255,K255))))</f>
        <v/>
      </c>
      <c r="AH255" s="26" t="str">
        <f aca="false">IF(U255&lt;&gt;"Closed","",DATE(YEAR(P255),MONTH(P255),1))</f>
        <v/>
      </c>
      <c r="AI255" s="19" t="str">
        <f aca="false">IF(U255&lt;&gt;"Closed","",COUNTIFS($U$7:$U$506,"Closed",$P$7:$P$506,"&lt;"&amp;P255)+COUNTIFS($U$7:U255,"Closed",$P$7:P255,P255))</f>
        <v/>
      </c>
    </row>
    <row r="256" customFormat="false" ht="15" hidden="false" customHeight="false" outlineLevel="0" collapsed="false">
      <c r="A256" s="13"/>
      <c r="B256" s="48"/>
      <c r="C256" s="48"/>
      <c r="D256" s="48"/>
      <c r="E256" s="15"/>
      <c r="F256" s="15"/>
      <c r="G256" s="16"/>
      <c r="H256" s="17"/>
      <c r="I256" s="17"/>
      <c r="J256" s="17"/>
      <c r="K256" s="17"/>
      <c r="L256" s="16"/>
      <c r="M256" s="17"/>
      <c r="N256" s="16"/>
      <c r="O256" s="17"/>
      <c r="P256" s="15"/>
      <c r="Q256" s="17"/>
      <c r="R256" s="17"/>
      <c r="S256" s="17"/>
      <c r="T256" s="17"/>
      <c r="U256" s="18" t="str">
        <f aca="false">IF(A256="","",IF(N(G256)-N(L256)-N(N256)&lt;0,"Check shares",IF(AND(P256&lt;&gt;"",Q256&lt;&gt;""),"Closed","Open")))</f>
        <v/>
      </c>
      <c r="V256" s="19" t="str">
        <f aca="false">IF(OR(F256="",P256=""),"",NETWORKDAYS(F256,P256,Lists!$F$5:$F$40)-1)</f>
        <v/>
      </c>
      <c r="W256" s="18" t="str">
        <f aca="false">IF(V256="","",IF(V256=0,"Same day","Overnight"))</f>
        <v/>
      </c>
      <c r="X256" s="18" t="str">
        <f aca="false">IF(OR(E256="",F256=""),"",IF(AND(E256&gt;=F256,OR(P256="",E256&lt;=P256)),"Yes","No"))</f>
        <v/>
      </c>
      <c r="Y256" s="20" t="str">
        <f aca="false">IF(A256="","",N(G256)-N(L256)-N(N256))</f>
        <v/>
      </c>
      <c r="Z256" s="21" t="str">
        <f aca="false">IF(OR(G256="",H256="",I256=""),"",ABS(H256-I256)*G256)</f>
        <v/>
      </c>
      <c r="AA256" s="22" t="str">
        <f aca="false">IF(OR(J256="",N(Z256)=0),"",ABS(J256-H256)/ABS(H256-I256))</f>
        <v/>
      </c>
      <c r="AB256" s="23" t="str">
        <f aca="false">IF(U256&lt;&gt;"Closed","",(N(L256)*N(M256)+N(N256)*N(O256)+Y256*Q256)/G256)</f>
        <v/>
      </c>
      <c r="AC256" s="24" t="str">
        <f aca="false">IF(U256&lt;&gt;"Closed","",IF($B256="Short",-1,1)*((N(M256)-H256)*N(L256)+(N(O256)-H256)*N(N256)+(Q256-H256)*Y256)-N(R256))</f>
        <v/>
      </c>
      <c r="AD256" s="25" t="str">
        <f aca="false">IF(OR(AC256="",N(Z256)=0),"",AC256/Z256)</f>
        <v/>
      </c>
      <c r="AE256" s="25" t="str">
        <f aca="false">IF(OR(S256="",N(Z256)=0),"",IF($B256="Short",-1,1)*(S256-H256)*G256/Z256)</f>
        <v/>
      </c>
      <c r="AF256" s="25" t="str">
        <f aca="false">IF(OR(T256="",N(Z256)=0),"",IF($B256="Short",-1,1)*(T256-H256)*G256/Z256)</f>
        <v/>
      </c>
      <c r="AG256" s="21" t="str">
        <f aca="false">IF(U256&lt;&gt;"Open","",Y256*MAX(0,IF($B256="Short",-1,1)*(H256-IF(K256="",I256,K256))))</f>
        <v/>
      </c>
      <c r="AH256" s="26" t="str">
        <f aca="false">IF(U256&lt;&gt;"Closed","",DATE(YEAR(P256),MONTH(P256),1))</f>
        <v/>
      </c>
      <c r="AI256" s="19" t="str">
        <f aca="false">IF(U256&lt;&gt;"Closed","",COUNTIFS($U$7:$U$506,"Closed",$P$7:$P$506,"&lt;"&amp;P256)+COUNTIFS($U$7:U256,"Closed",$P$7:P256,P256))</f>
        <v/>
      </c>
    </row>
    <row r="257" customFormat="false" ht="15" hidden="false" customHeight="false" outlineLevel="0" collapsed="false">
      <c r="A257" s="13"/>
      <c r="B257" s="48"/>
      <c r="C257" s="48"/>
      <c r="D257" s="48"/>
      <c r="E257" s="15"/>
      <c r="F257" s="15"/>
      <c r="G257" s="16"/>
      <c r="H257" s="17"/>
      <c r="I257" s="17"/>
      <c r="J257" s="17"/>
      <c r="K257" s="17"/>
      <c r="L257" s="16"/>
      <c r="M257" s="17"/>
      <c r="N257" s="16"/>
      <c r="O257" s="17"/>
      <c r="P257" s="15"/>
      <c r="Q257" s="17"/>
      <c r="R257" s="17"/>
      <c r="S257" s="17"/>
      <c r="T257" s="17"/>
      <c r="U257" s="18" t="str">
        <f aca="false">IF(A257="","",IF(N(G257)-N(L257)-N(N257)&lt;0,"Check shares",IF(AND(P257&lt;&gt;"",Q257&lt;&gt;""),"Closed","Open")))</f>
        <v/>
      </c>
      <c r="V257" s="19" t="str">
        <f aca="false">IF(OR(F257="",P257=""),"",NETWORKDAYS(F257,P257,Lists!$F$5:$F$40)-1)</f>
        <v/>
      </c>
      <c r="W257" s="18" t="str">
        <f aca="false">IF(V257="","",IF(V257=0,"Same day","Overnight"))</f>
        <v/>
      </c>
      <c r="X257" s="18" t="str">
        <f aca="false">IF(OR(E257="",F257=""),"",IF(AND(E257&gt;=F257,OR(P257="",E257&lt;=P257)),"Yes","No"))</f>
        <v/>
      </c>
      <c r="Y257" s="20" t="str">
        <f aca="false">IF(A257="","",N(G257)-N(L257)-N(N257))</f>
        <v/>
      </c>
      <c r="Z257" s="21" t="str">
        <f aca="false">IF(OR(G257="",H257="",I257=""),"",ABS(H257-I257)*G257)</f>
        <v/>
      </c>
      <c r="AA257" s="22" t="str">
        <f aca="false">IF(OR(J257="",N(Z257)=0),"",ABS(J257-H257)/ABS(H257-I257))</f>
        <v/>
      </c>
      <c r="AB257" s="23" t="str">
        <f aca="false">IF(U257&lt;&gt;"Closed","",(N(L257)*N(M257)+N(N257)*N(O257)+Y257*Q257)/G257)</f>
        <v/>
      </c>
      <c r="AC257" s="24" t="str">
        <f aca="false">IF(U257&lt;&gt;"Closed","",IF($B257="Short",-1,1)*((N(M257)-H257)*N(L257)+(N(O257)-H257)*N(N257)+(Q257-H257)*Y257)-N(R257))</f>
        <v/>
      </c>
      <c r="AD257" s="25" t="str">
        <f aca="false">IF(OR(AC257="",N(Z257)=0),"",AC257/Z257)</f>
        <v/>
      </c>
      <c r="AE257" s="25" t="str">
        <f aca="false">IF(OR(S257="",N(Z257)=0),"",IF($B257="Short",-1,1)*(S257-H257)*G257/Z257)</f>
        <v/>
      </c>
      <c r="AF257" s="25" t="str">
        <f aca="false">IF(OR(T257="",N(Z257)=0),"",IF($B257="Short",-1,1)*(T257-H257)*G257/Z257)</f>
        <v/>
      </c>
      <c r="AG257" s="21" t="str">
        <f aca="false">IF(U257&lt;&gt;"Open","",Y257*MAX(0,IF($B257="Short",-1,1)*(H257-IF(K257="",I257,K257))))</f>
        <v/>
      </c>
      <c r="AH257" s="26" t="str">
        <f aca="false">IF(U257&lt;&gt;"Closed","",DATE(YEAR(P257),MONTH(P257),1))</f>
        <v/>
      </c>
      <c r="AI257" s="19" t="str">
        <f aca="false">IF(U257&lt;&gt;"Closed","",COUNTIFS($U$7:$U$506,"Closed",$P$7:$P$506,"&lt;"&amp;P257)+COUNTIFS($U$7:U257,"Closed",$P$7:P257,P257))</f>
        <v/>
      </c>
    </row>
    <row r="258" customFormat="false" ht="15" hidden="false" customHeight="false" outlineLevel="0" collapsed="false">
      <c r="A258" s="13"/>
      <c r="B258" s="48"/>
      <c r="C258" s="48"/>
      <c r="D258" s="48"/>
      <c r="E258" s="15"/>
      <c r="F258" s="15"/>
      <c r="G258" s="16"/>
      <c r="H258" s="17"/>
      <c r="I258" s="17"/>
      <c r="J258" s="17"/>
      <c r="K258" s="17"/>
      <c r="L258" s="16"/>
      <c r="M258" s="17"/>
      <c r="N258" s="16"/>
      <c r="O258" s="17"/>
      <c r="P258" s="15"/>
      <c r="Q258" s="17"/>
      <c r="R258" s="17"/>
      <c r="S258" s="17"/>
      <c r="T258" s="17"/>
      <c r="U258" s="18" t="str">
        <f aca="false">IF(A258="","",IF(N(G258)-N(L258)-N(N258)&lt;0,"Check shares",IF(AND(P258&lt;&gt;"",Q258&lt;&gt;""),"Closed","Open")))</f>
        <v/>
      </c>
      <c r="V258" s="19" t="str">
        <f aca="false">IF(OR(F258="",P258=""),"",NETWORKDAYS(F258,P258,Lists!$F$5:$F$40)-1)</f>
        <v/>
      </c>
      <c r="W258" s="18" t="str">
        <f aca="false">IF(V258="","",IF(V258=0,"Same day","Overnight"))</f>
        <v/>
      </c>
      <c r="X258" s="18" t="str">
        <f aca="false">IF(OR(E258="",F258=""),"",IF(AND(E258&gt;=F258,OR(P258="",E258&lt;=P258)),"Yes","No"))</f>
        <v/>
      </c>
      <c r="Y258" s="20" t="str">
        <f aca="false">IF(A258="","",N(G258)-N(L258)-N(N258))</f>
        <v/>
      </c>
      <c r="Z258" s="21" t="str">
        <f aca="false">IF(OR(G258="",H258="",I258=""),"",ABS(H258-I258)*G258)</f>
        <v/>
      </c>
      <c r="AA258" s="22" t="str">
        <f aca="false">IF(OR(J258="",N(Z258)=0),"",ABS(J258-H258)/ABS(H258-I258))</f>
        <v/>
      </c>
      <c r="AB258" s="23" t="str">
        <f aca="false">IF(U258&lt;&gt;"Closed","",(N(L258)*N(M258)+N(N258)*N(O258)+Y258*Q258)/G258)</f>
        <v/>
      </c>
      <c r="AC258" s="24" t="str">
        <f aca="false">IF(U258&lt;&gt;"Closed","",IF($B258="Short",-1,1)*((N(M258)-H258)*N(L258)+(N(O258)-H258)*N(N258)+(Q258-H258)*Y258)-N(R258))</f>
        <v/>
      </c>
      <c r="AD258" s="25" t="str">
        <f aca="false">IF(OR(AC258="",N(Z258)=0),"",AC258/Z258)</f>
        <v/>
      </c>
      <c r="AE258" s="25" t="str">
        <f aca="false">IF(OR(S258="",N(Z258)=0),"",IF($B258="Short",-1,1)*(S258-H258)*G258/Z258)</f>
        <v/>
      </c>
      <c r="AF258" s="25" t="str">
        <f aca="false">IF(OR(T258="",N(Z258)=0),"",IF($B258="Short",-1,1)*(T258-H258)*G258/Z258)</f>
        <v/>
      </c>
      <c r="AG258" s="21" t="str">
        <f aca="false">IF(U258&lt;&gt;"Open","",Y258*MAX(0,IF($B258="Short",-1,1)*(H258-IF(K258="",I258,K258))))</f>
        <v/>
      </c>
      <c r="AH258" s="26" t="str">
        <f aca="false">IF(U258&lt;&gt;"Closed","",DATE(YEAR(P258),MONTH(P258),1))</f>
        <v/>
      </c>
      <c r="AI258" s="19" t="str">
        <f aca="false">IF(U258&lt;&gt;"Closed","",COUNTIFS($U$7:$U$506,"Closed",$P$7:$P$506,"&lt;"&amp;P258)+COUNTIFS($U$7:U258,"Closed",$P$7:P258,P258))</f>
        <v/>
      </c>
    </row>
    <row r="259" customFormat="false" ht="15" hidden="false" customHeight="false" outlineLevel="0" collapsed="false">
      <c r="A259" s="13"/>
      <c r="B259" s="48"/>
      <c r="C259" s="48"/>
      <c r="D259" s="48"/>
      <c r="E259" s="15"/>
      <c r="F259" s="15"/>
      <c r="G259" s="16"/>
      <c r="H259" s="17"/>
      <c r="I259" s="17"/>
      <c r="J259" s="17"/>
      <c r="K259" s="17"/>
      <c r="L259" s="16"/>
      <c r="M259" s="17"/>
      <c r="N259" s="16"/>
      <c r="O259" s="17"/>
      <c r="P259" s="15"/>
      <c r="Q259" s="17"/>
      <c r="R259" s="17"/>
      <c r="S259" s="17"/>
      <c r="T259" s="17"/>
      <c r="U259" s="18" t="str">
        <f aca="false">IF(A259="","",IF(N(G259)-N(L259)-N(N259)&lt;0,"Check shares",IF(AND(P259&lt;&gt;"",Q259&lt;&gt;""),"Closed","Open")))</f>
        <v/>
      </c>
      <c r="V259" s="19" t="str">
        <f aca="false">IF(OR(F259="",P259=""),"",NETWORKDAYS(F259,P259,Lists!$F$5:$F$40)-1)</f>
        <v/>
      </c>
      <c r="W259" s="18" t="str">
        <f aca="false">IF(V259="","",IF(V259=0,"Same day","Overnight"))</f>
        <v/>
      </c>
      <c r="X259" s="18" t="str">
        <f aca="false">IF(OR(E259="",F259=""),"",IF(AND(E259&gt;=F259,OR(P259="",E259&lt;=P259)),"Yes","No"))</f>
        <v/>
      </c>
      <c r="Y259" s="20" t="str">
        <f aca="false">IF(A259="","",N(G259)-N(L259)-N(N259))</f>
        <v/>
      </c>
      <c r="Z259" s="21" t="str">
        <f aca="false">IF(OR(G259="",H259="",I259=""),"",ABS(H259-I259)*G259)</f>
        <v/>
      </c>
      <c r="AA259" s="22" t="str">
        <f aca="false">IF(OR(J259="",N(Z259)=0),"",ABS(J259-H259)/ABS(H259-I259))</f>
        <v/>
      </c>
      <c r="AB259" s="23" t="str">
        <f aca="false">IF(U259&lt;&gt;"Closed","",(N(L259)*N(M259)+N(N259)*N(O259)+Y259*Q259)/G259)</f>
        <v/>
      </c>
      <c r="AC259" s="24" t="str">
        <f aca="false">IF(U259&lt;&gt;"Closed","",IF($B259="Short",-1,1)*((N(M259)-H259)*N(L259)+(N(O259)-H259)*N(N259)+(Q259-H259)*Y259)-N(R259))</f>
        <v/>
      </c>
      <c r="AD259" s="25" t="str">
        <f aca="false">IF(OR(AC259="",N(Z259)=0),"",AC259/Z259)</f>
        <v/>
      </c>
      <c r="AE259" s="25" t="str">
        <f aca="false">IF(OR(S259="",N(Z259)=0),"",IF($B259="Short",-1,1)*(S259-H259)*G259/Z259)</f>
        <v/>
      </c>
      <c r="AF259" s="25" t="str">
        <f aca="false">IF(OR(T259="",N(Z259)=0),"",IF($B259="Short",-1,1)*(T259-H259)*G259/Z259)</f>
        <v/>
      </c>
      <c r="AG259" s="21" t="str">
        <f aca="false">IF(U259&lt;&gt;"Open","",Y259*MAX(0,IF($B259="Short",-1,1)*(H259-IF(K259="",I259,K259))))</f>
        <v/>
      </c>
      <c r="AH259" s="26" t="str">
        <f aca="false">IF(U259&lt;&gt;"Closed","",DATE(YEAR(P259),MONTH(P259),1))</f>
        <v/>
      </c>
      <c r="AI259" s="19" t="str">
        <f aca="false">IF(U259&lt;&gt;"Closed","",COUNTIFS($U$7:$U$506,"Closed",$P$7:$P$506,"&lt;"&amp;P259)+COUNTIFS($U$7:U259,"Closed",$P$7:P259,P259))</f>
        <v/>
      </c>
    </row>
    <row r="260" customFormat="false" ht="15" hidden="false" customHeight="false" outlineLevel="0" collapsed="false">
      <c r="A260" s="13"/>
      <c r="B260" s="48"/>
      <c r="C260" s="48"/>
      <c r="D260" s="48"/>
      <c r="E260" s="15"/>
      <c r="F260" s="15"/>
      <c r="G260" s="16"/>
      <c r="H260" s="17"/>
      <c r="I260" s="17"/>
      <c r="J260" s="17"/>
      <c r="K260" s="17"/>
      <c r="L260" s="16"/>
      <c r="M260" s="17"/>
      <c r="N260" s="16"/>
      <c r="O260" s="17"/>
      <c r="P260" s="15"/>
      <c r="Q260" s="17"/>
      <c r="R260" s="17"/>
      <c r="S260" s="17"/>
      <c r="T260" s="17"/>
      <c r="U260" s="18" t="str">
        <f aca="false">IF(A260="","",IF(N(G260)-N(L260)-N(N260)&lt;0,"Check shares",IF(AND(P260&lt;&gt;"",Q260&lt;&gt;""),"Closed","Open")))</f>
        <v/>
      </c>
      <c r="V260" s="19" t="str">
        <f aca="false">IF(OR(F260="",P260=""),"",NETWORKDAYS(F260,P260,Lists!$F$5:$F$40)-1)</f>
        <v/>
      </c>
      <c r="W260" s="18" t="str">
        <f aca="false">IF(V260="","",IF(V260=0,"Same day","Overnight"))</f>
        <v/>
      </c>
      <c r="X260" s="18" t="str">
        <f aca="false">IF(OR(E260="",F260=""),"",IF(AND(E260&gt;=F260,OR(P260="",E260&lt;=P260)),"Yes","No"))</f>
        <v/>
      </c>
      <c r="Y260" s="20" t="str">
        <f aca="false">IF(A260="","",N(G260)-N(L260)-N(N260))</f>
        <v/>
      </c>
      <c r="Z260" s="21" t="str">
        <f aca="false">IF(OR(G260="",H260="",I260=""),"",ABS(H260-I260)*G260)</f>
        <v/>
      </c>
      <c r="AA260" s="22" t="str">
        <f aca="false">IF(OR(J260="",N(Z260)=0),"",ABS(J260-H260)/ABS(H260-I260))</f>
        <v/>
      </c>
      <c r="AB260" s="23" t="str">
        <f aca="false">IF(U260&lt;&gt;"Closed","",(N(L260)*N(M260)+N(N260)*N(O260)+Y260*Q260)/G260)</f>
        <v/>
      </c>
      <c r="AC260" s="24" t="str">
        <f aca="false">IF(U260&lt;&gt;"Closed","",IF($B260="Short",-1,1)*((N(M260)-H260)*N(L260)+(N(O260)-H260)*N(N260)+(Q260-H260)*Y260)-N(R260))</f>
        <v/>
      </c>
      <c r="AD260" s="25" t="str">
        <f aca="false">IF(OR(AC260="",N(Z260)=0),"",AC260/Z260)</f>
        <v/>
      </c>
      <c r="AE260" s="25" t="str">
        <f aca="false">IF(OR(S260="",N(Z260)=0),"",IF($B260="Short",-1,1)*(S260-H260)*G260/Z260)</f>
        <v/>
      </c>
      <c r="AF260" s="25" t="str">
        <f aca="false">IF(OR(T260="",N(Z260)=0),"",IF($B260="Short",-1,1)*(T260-H260)*G260/Z260)</f>
        <v/>
      </c>
      <c r="AG260" s="21" t="str">
        <f aca="false">IF(U260&lt;&gt;"Open","",Y260*MAX(0,IF($B260="Short",-1,1)*(H260-IF(K260="",I260,K260))))</f>
        <v/>
      </c>
      <c r="AH260" s="26" t="str">
        <f aca="false">IF(U260&lt;&gt;"Closed","",DATE(YEAR(P260),MONTH(P260),1))</f>
        <v/>
      </c>
      <c r="AI260" s="19" t="str">
        <f aca="false">IF(U260&lt;&gt;"Closed","",COUNTIFS($U$7:$U$506,"Closed",$P$7:$P$506,"&lt;"&amp;P260)+COUNTIFS($U$7:U260,"Closed",$P$7:P260,P260))</f>
        <v/>
      </c>
    </row>
    <row r="261" customFormat="false" ht="15" hidden="false" customHeight="false" outlineLevel="0" collapsed="false">
      <c r="A261" s="13"/>
      <c r="B261" s="48"/>
      <c r="C261" s="48"/>
      <c r="D261" s="48"/>
      <c r="E261" s="15"/>
      <c r="F261" s="15"/>
      <c r="G261" s="16"/>
      <c r="H261" s="17"/>
      <c r="I261" s="17"/>
      <c r="J261" s="17"/>
      <c r="K261" s="17"/>
      <c r="L261" s="16"/>
      <c r="M261" s="17"/>
      <c r="N261" s="16"/>
      <c r="O261" s="17"/>
      <c r="P261" s="15"/>
      <c r="Q261" s="17"/>
      <c r="R261" s="17"/>
      <c r="S261" s="17"/>
      <c r="T261" s="17"/>
      <c r="U261" s="18" t="str">
        <f aca="false">IF(A261="","",IF(N(G261)-N(L261)-N(N261)&lt;0,"Check shares",IF(AND(P261&lt;&gt;"",Q261&lt;&gt;""),"Closed","Open")))</f>
        <v/>
      </c>
      <c r="V261" s="19" t="str">
        <f aca="false">IF(OR(F261="",P261=""),"",NETWORKDAYS(F261,P261,Lists!$F$5:$F$40)-1)</f>
        <v/>
      </c>
      <c r="W261" s="18" t="str">
        <f aca="false">IF(V261="","",IF(V261=0,"Same day","Overnight"))</f>
        <v/>
      </c>
      <c r="X261" s="18" t="str">
        <f aca="false">IF(OR(E261="",F261=""),"",IF(AND(E261&gt;=F261,OR(P261="",E261&lt;=P261)),"Yes","No"))</f>
        <v/>
      </c>
      <c r="Y261" s="20" t="str">
        <f aca="false">IF(A261="","",N(G261)-N(L261)-N(N261))</f>
        <v/>
      </c>
      <c r="Z261" s="21" t="str">
        <f aca="false">IF(OR(G261="",H261="",I261=""),"",ABS(H261-I261)*G261)</f>
        <v/>
      </c>
      <c r="AA261" s="22" t="str">
        <f aca="false">IF(OR(J261="",N(Z261)=0),"",ABS(J261-H261)/ABS(H261-I261))</f>
        <v/>
      </c>
      <c r="AB261" s="23" t="str">
        <f aca="false">IF(U261&lt;&gt;"Closed","",(N(L261)*N(M261)+N(N261)*N(O261)+Y261*Q261)/G261)</f>
        <v/>
      </c>
      <c r="AC261" s="24" t="str">
        <f aca="false">IF(U261&lt;&gt;"Closed","",IF($B261="Short",-1,1)*((N(M261)-H261)*N(L261)+(N(O261)-H261)*N(N261)+(Q261-H261)*Y261)-N(R261))</f>
        <v/>
      </c>
      <c r="AD261" s="25" t="str">
        <f aca="false">IF(OR(AC261="",N(Z261)=0),"",AC261/Z261)</f>
        <v/>
      </c>
      <c r="AE261" s="25" t="str">
        <f aca="false">IF(OR(S261="",N(Z261)=0),"",IF($B261="Short",-1,1)*(S261-H261)*G261/Z261)</f>
        <v/>
      </c>
      <c r="AF261" s="25" t="str">
        <f aca="false">IF(OR(T261="",N(Z261)=0),"",IF($B261="Short",-1,1)*(T261-H261)*G261/Z261)</f>
        <v/>
      </c>
      <c r="AG261" s="21" t="str">
        <f aca="false">IF(U261&lt;&gt;"Open","",Y261*MAX(0,IF($B261="Short",-1,1)*(H261-IF(K261="",I261,K261))))</f>
        <v/>
      </c>
      <c r="AH261" s="26" t="str">
        <f aca="false">IF(U261&lt;&gt;"Closed","",DATE(YEAR(P261),MONTH(P261),1))</f>
        <v/>
      </c>
      <c r="AI261" s="19" t="str">
        <f aca="false">IF(U261&lt;&gt;"Closed","",COUNTIFS($U$7:$U$506,"Closed",$P$7:$P$506,"&lt;"&amp;P261)+COUNTIFS($U$7:U261,"Closed",$P$7:P261,P261))</f>
        <v/>
      </c>
    </row>
    <row r="262" customFormat="false" ht="15" hidden="false" customHeight="false" outlineLevel="0" collapsed="false">
      <c r="A262" s="13"/>
      <c r="B262" s="48"/>
      <c r="C262" s="48"/>
      <c r="D262" s="48"/>
      <c r="E262" s="15"/>
      <c r="F262" s="15"/>
      <c r="G262" s="16"/>
      <c r="H262" s="17"/>
      <c r="I262" s="17"/>
      <c r="J262" s="17"/>
      <c r="K262" s="17"/>
      <c r="L262" s="16"/>
      <c r="M262" s="17"/>
      <c r="N262" s="16"/>
      <c r="O262" s="17"/>
      <c r="P262" s="15"/>
      <c r="Q262" s="17"/>
      <c r="R262" s="17"/>
      <c r="S262" s="17"/>
      <c r="T262" s="17"/>
      <c r="U262" s="18" t="str">
        <f aca="false">IF(A262="","",IF(N(G262)-N(L262)-N(N262)&lt;0,"Check shares",IF(AND(P262&lt;&gt;"",Q262&lt;&gt;""),"Closed","Open")))</f>
        <v/>
      </c>
      <c r="V262" s="19" t="str">
        <f aca="false">IF(OR(F262="",P262=""),"",NETWORKDAYS(F262,P262,Lists!$F$5:$F$40)-1)</f>
        <v/>
      </c>
      <c r="W262" s="18" t="str">
        <f aca="false">IF(V262="","",IF(V262=0,"Same day","Overnight"))</f>
        <v/>
      </c>
      <c r="X262" s="18" t="str">
        <f aca="false">IF(OR(E262="",F262=""),"",IF(AND(E262&gt;=F262,OR(P262="",E262&lt;=P262)),"Yes","No"))</f>
        <v/>
      </c>
      <c r="Y262" s="20" t="str">
        <f aca="false">IF(A262="","",N(G262)-N(L262)-N(N262))</f>
        <v/>
      </c>
      <c r="Z262" s="21" t="str">
        <f aca="false">IF(OR(G262="",H262="",I262=""),"",ABS(H262-I262)*G262)</f>
        <v/>
      </c>
      <c r="AA262" s="22" t="str">
        <f aca="false">IF(OR(J262="",N(Z262)=0),"",ABS(J262-H262)/ABS(H262-I262))</f>
        <v/>
      </c>
      <c r="AB262" s="23" t="str">
        <f aca="false">IF(U262&lt;&gt;"Closed","",(N(L262)*N(M262)+N(N262)*N(O262)+Y262*Q262)/G262)</f>
        <v/>
      </c>
      <c r="AC262" s="24" t="str">
        <f aca="false">IF(U262&lt;&gt;"Closed","",IF($B262="Short",-1,1)*((N(M262)-H262)*N(L262)+(N(O262)-H262)*N(N262)+(Q262-H262)*Y262)-N(R262))</f>
        <v/>
      </c>
      <c r="AD262" s="25" t="str">
        <f aca="false">IF(OR(AC262="",N(Z262)=0),"",AC262/Z262)</f>
        <v/>
      </c>
      <c r="AE262" s="25" t="str">
        <f aca="false">IF(OR(S262="",N(Z262)=0),"",IF($B262="Short",-1,1)*(S262-H262)*G262/Z262)</f>
        <v/>
      </c>
      <c r="AF262" s="25" t="str">
        <f aca="false">IF(OR(T262="",N(Z262)=0),"",IF($B262="Short",-1,1)*(T262-H262)*G262/Z262)</f>
        <v/>
      </c>
      <c r="AG262" s="21" t="str">
        <f aca="false">IF(U262&lt;&gt;"Open","",Y262*MAX(0,IF($B262="Short",-1,1)*(H262-IF(K262="",I262,K262))))</f>
        <v/>
      </c>
      <c r="AH262" s="26" t="str">
        <f aca="false">IF(U262&lt;&gt;"Closed","",DATE(YEAR(P262),MONTH(P262),1))</f>
        <v/>
      </c>
      <c r="AI262" s="19" t="str">
        <f aca="false">IF(U262&lt;&gt;"Closed","",COUNTIFS($U$7:$U$506,"Closed",$P$7:$P$506,"&lt;"&amp;P262)+COUNTIFS($U$7:U262,"Closed",$P$7:P262,P262))</f>
        <v/>
      </c>
    </row>
    <row r="263" customFormat="false" ht="15" hidden="false" customHeight="false" outlineLevel="0" collapsed="false">
      <c r="A263" s="13"/>
      <c r="B263" s="48"/>
      <c r="C263" s="48"/>
      <c r="D263" s="48"/>
      <c r="E263" s="15"/>
      <c r="F263" s="15"/>
      <c r="G263" s="16"/>
      <c r="H263" s="17"/>
      <c r="I263" s="17"/>
      <c r="J263" s="17"/>
      <c r="K263" s="17"/>
      <c r="L263" s="16"/>
      <c r="M263" s="17"/>
      <c r="N263" s="16"/>
      <c r="O263" s="17"/>
      <c r="P263" s="15"/>
      <c r="Q263" s="17"/>
      <c r="R263" s="17"/>
      <c r="S263" s="17"/>
      <c r="T263" s="17"/>
      <c r="U263" s="18" t="str">
        <f aca="false">IF(A263="","",IF(N(G263)-N(L263)-N(N263)&lt;0,"Check shares",IF(AND(P263&lt;&gt;"",Q263&lt;&gt;""),"Closed","Open")))</f>
        <v/>
      </c>
      <c r="V263" s="19" t="str">
        <f aca="false">IF(OR(F263="",P263=""),"",NETWORKDAYS(F263,P263,Lists!$F$5:$F$40)-1)</f>
        <v/>
      </c>
      <c r="W263" s="18" t="str">
        <f aca="false">IF(V263="","",IF(V263=0,"Same day","Overnight"))</f>
        <v/>
      </c>
      <c r="X263" s="18" t="str">
        <f aca="false">IF(OR(E263="",F263=""),"",IF(AND(E263&gt;=F263,OR(P263="",E263&lt;=P263)),"Yes","No"))</f>
        <v/>
      </c>
      <c r="Y263" s="20" t="str">
        <f aca="false">IF(A263="","",N(G263)-N(L263)-N(N263))</f>
        <v/>
      </c>
      <c r="Z263" s="21" t="str">
        <f aca="false">IF(OR(G263="",H263="",I263=""),"",ABS(H263-I263)*G263)</f>
        <v/>
      </c>
      <c r="AA263" s="22" t="str">
        <f aca="false">IF(OR(J263="",N(Z263)=0),"",ABS(J263-H263)/ABS(H263-I263))</f>
        <v/>
      </c>
      <c r="AB263" s="23" t="str">
        <f aca="false">IF(U263&lt;&gt;"Closed","",(N(L263)*N(M263)+N(N263)*N(O263)+Y263*Q263)/G263)</f>
        <v/>
      </c>
      <c r="AC263" s="24" t="str">
        <f aca="false">IF(U263&lt;&gt;"Closed","",IF($B263="Short",-1,1)*((N(M263)-H263)*N(L263)+(N(O263)-H263)*N(N263)+(Q263-H263)*Y263)-N(R263))</f>
        <v/>
      </c>
      <c r="AD263" s="25" t="str">
        <f aca="false">IF(OR(AC263="",N(Z263)=0),"",AC263/Z263)</f>
        <v/>
      </c>
      <c r="AE263" s="25" t="str">
        <f aca="false">IF(OR(S263="",N(Z263)=0),"",IF($B263="Short",-1,1)*(S263-H263)*G263/Z263)</f>
        <v/>
      </c>
      <c r="AF263" s="25" t="str">
        <f aca="false">IF(OR(T263="",N(Z263)=0),"",IF($B263="Short",-1,1)*(T263-H263)*G263/Z263)</f>
        <v/>
      </c>
      <c r="AG263" s="21" t="str">
        <f aca="false">IF(U263&lt;&gt;"Open","",Y263*MAX(0,IF($B263="Short",-1,1)*(H263-IF(K263="",I263,K263))))</f>
        <v/>
      </c>
      <c r="AH263" s="26" t="str">
        <f aca="false">IF(U263&lt;&gt;"Closed","",DATE(YEAR(P263),MONTH(P263),1))</f>
        <v/>
      </c>
      <c r="AI263" s="19" t="str">
        <f aca="false">IF(U263&lt;&gt;"Closed","",COUNTIFS($U$7:$U$506,"Closed",$P$7:$P$506,"&lt;"&amp;P263)+COUNTIFS($U$7:U263,"Closed",$P$7:P263,P263))</f>
        <v/>
      </c>
    </row>
    <row r="264" customFormat="false" ht="15" hidden="false" customHeight="false" outlineLevel="0" collapsed="false">
      <c r="A264" s="13"/>
      <c r="B264" s="48"/>
      <c r="C264" s="48"/>
      <c r="D264" s="48"/>
      <c r="E264" s="15"/>
      <c r="F264" s="15"/>
      <c r="G264" s="16"/>
      <c r="H264" s="17"/>
      <c r="I264" s="17"/>
      <c r="J264" s="17"/>
      <c r="K264" s="17"/>
      <c r="L264" s="16"/>
      <c r="M264" s="17"/>
      <c r="N264" s="16"/>
      <c r="O264" s="17"/>
      <c r="P264" s="15"/>
      <c r="Q264" s="17"/>
      <c r="R264" s="17"/>
      <c r="S264" s="17"/>
      <c r="T264" s="17"/>
      <c r="U264" s="18" t="str">
        <f aca="false">IF(A264="","",IF(N(G264)-N(L264)-N(N264)&lt;0,"Check shares",IF(AND(P264&lt;&gt;"",Q264&lt;&gt;""),"Closed","Open")))</f>
        <v/>
      </c>
      <c r="V264" s="19" t="str">
        <f aca="false">IF(OR(F264="",P264=""),"",NETWORKDAYS(F264,P264,Lists!$F$5:$F$40)-1)</f>
        <v/>
      </c>
      <c r="W264" s="18" t="str">
        <f aca="false">IF(V264="","",IF(V264=0,"Same day","Overnight"))</f>
        <v/>
      </c>
      <c r="X264" s="18" t="str">
        <f aca="false">IF(OR(E264="",F264=""),"",IF(AND(E264&gt;=F264,OR(P264="",E264&lt;=P264)),"Yes","No"))</f>
        <v/>
      </c>
      <c r="Y264" s="20" t="str">
        <f aca="false">IF(A264="","",N(G264)-N(L264)-N(N264))</f>
        <v/>
      </c>
      <c r="Z264" s="21" t="str">
        <f aca="false">IF(OR(G264="",H264="",I264=""),"",ABS(H264-I264)*G264)</f>
        <v/>
      </c>
      <c r="AA264" s="22" t="str">
        <f aca="false">IF(OR(J264="",N(Z264)=0),"",ABS(J264-H264)/ABS(H264-I264))</f>
        <v/>
      </c>
      <c r="AB264" s="23" t="str">
        <f aca="false">IF(U264&lt;&gt;"Closed","",(N(L264)*N(M264)+N(N264)*N(O264)+Y264*Q264)/G264)</f>
        <v/>
      </c>
      <c r="AC264" s="24" t="str">
        <f aca="false">IF(U264&lt;&gt;"Closed","",IF($B264="Short",-1,1)*((N(M264)-H264)*N(L264)+(N(O264)-H264)*N(N264)+(Q264-H264)*Y264)-N(R264))</f>
        <v/>
      </c>
      <c r="AD264" s="25" t="str">
        <f aca="false">IF(OR(AC264="",N(Z264)=0),"",AC264/Z264)</f>
        <v/>
      </c>
      <c r="AE264" s="25" t="str">
        <f aca="false">IF(OR(S264="",N(Z264)=0),"",IF($B264="Short",-1,1)*(S264-H264)*G264/Z264)</f>
        <v/>
      </c>
      <c r="AF264" s="25" t="str">
        <f aca="false">IF(OR(T264="",N(Z264)=0),"",IF($B264="Short",-1,1)*(T264-H264)*G264/Z264)</f>
        <v/>
      </c>
      <c r="AG264" s="21" t="str">
        <f aca="false">IF(U264&lt;&gt;"Open","",Y264*MAX(0,IF($B264="Short",-1,1)*(H264-IF(K264="",I264,K264))))</f>
        <v/>
      </c>
      <c r="AH264" s="26" t="str">
        <f aca="false">IF(U264&lt;&gt;"Closed","",DATE(YEAR(P264),MONTH(P264),1))</f>
        <v/>
      </c>
      <c r="AI264" s="19" t="str">
        <f aca="false">IF(U264&lt;&gt;"Closed","",COUNTIFS($U$7:$U$506,"Closed",$P$7:$P$506,"&lt;"&amp;P264)+COUNTIFS($U$7:U264,"Closed",$P$7:P264,P264))</f>
        <v/>
      </c>
    </row>
    <row r="265" customFormat="false" ht="15" hidden="false" customHeight="false" outlineLevel="0" collapsed="false">
      <c r="A265" s="13"/>
      <c r="B265" s="48"/>
      <c r="C265" s="48"/>
      <c r="D265" s="48"/>
      <c r="E265" s="15"/>
      <c r="F265" s="15"/>
      <c r="G265" s="16"/>
      <c r="H265" s="17"/>
      <c r="I265" s="17"/>
      <c r="J265" s="17"/>
      <c r="K265" s="17"/>
      <c r="L265" s="16"/>
      <c r="M265" s="17"/>
      <c r="N265" s="16"/>
      <c r="O265" s="17"/>
      <c r="P265" s="15"/>
      <c r="Q265" s="17"/>
      <c r="R265" s="17"/>
      <c r="S265" s="17"/>
      <c r="T265" s="17"/>
      <c r="U265" s="18" t="str">
        <f aca="false">IF(A265="","",IF(N(G265)-N(L265)-N(N265)&lt;0,"Check shares",IF(AND(P265&lt;&gt;"",Q265&lt;&gt;""),"Closed","Open")))</f>
        <v/>
      </c>
      <c r="V265" s="19" t="str">
        <f aca="false">IF(OR(F265="",P265=""),"",NETWORKDAYS(F265,P265,Lists!$F$5:$F$40)-1)</f>
        <v/>
      </c>
      <c r="W265" s="18" t="str">
        <f aca="false">IF(V265="","",IF(V265=0,"Same day","Overnight"))</f>
        <v/>
      </c>
      <c r="X265" s="18" t="str">
        <f aca="false">IF(OR(E265="",F265=""),"",IF(AND(E265&gt;=F265,OR(P265="",E265&lt;=P265)),"Yes","No"))</f>
        <v/>
      </c>
      <c r="Y265" s="20" t="str">
        <f aca="false">IF(A265="","",N(G265)-N(L265)-N(N265))</f>
        <v/>
      </c>
      <c r="Z265" s="21" t="str">
        <f aca="false">IF(OR(G265="",H265="",I265=""),"",ABS(H265-I265)*G265)</f>
        <v/>
      </c>
      <c r="AA265" s="22" t="str">
        <f aca="false">IF(OR(J265="",N(Z265)=0),"",ABS(J265-H265)/ABS(H265-I265))</f>
        <v/>
      </c>
      <c r="AB265" s="23" t="str">
        <f aca="false">IF(U265&lt;&gt;"Closed","",(N(L265)*N(M265)+N(N265)*N(O265)+Y265*Q265)/G265)</f>
        <v/>
      </c>
      <c r="AC265" s="24" t="str">
        <f aca="false">IF(U265&lt;&gt;"Closed","",IF($B265="Short",-1,1)*((N(M265)-H265)*N(L265)+(N(O265)-H265)*N(N265)+(Q265-H265)*Y265)-N(R265))</f>
        <v/>
      </c>
      <c r="AD265" s="25" t="str">
        <f aca="false">IF(OR(AC265="",N(Z265)=0),"",AC265/Z265)</f>
        <v/>
      </c>
      <c r="AE265" s="25" t="str">
        <f aca="false">IF(OR(S265="",N(Z265)=0),"",IF($B265="Short",-1,1)*(S265-H265)*G265/Z265)</f>
        <v/>
      </c>
      <c r="AF265" s="25" t="str">
        <f aca="false">IF(OR(T265="",N(Z265)=0),"",IF($B265="Short",-1,1)*(T265-H265)*G265/Z265)</f>
        <v/>
      </c>
      <c r="AG265" s="21" t="str">
        <f aca="false">IF(U265&lt;&gt;"Open","",Y265*MAX(0,IF($B265="Short",-1,1)*(H265-IF(K265="",I265,K265))))</f>
        <v/>
      </c>
      <c r="AH265" s="26" t="str">
        <f aca="false">IF(U265&lt;&gt;"Closed","",DATE(YEAR(P265),MONTH(P265),1))</f>
        <v/>
      </c>
      <c r="AI265" s="19" t="str">
        <f aca="false">IF(U265&lt;&gt;"Closed","",COUNTIFS($U$7:$U$506,"Closed",$P$7:$P$506,"&lt;"&amp;P265)+COUNTIFS($U$7:U265,"Closed",$P$7:P265,P265))</f>
        <v/>
      </c>
    </row>
    <row r="266" customFormat="false" ht="15" hidden="false" customHeight="false" outlineLevel="0" collapsed="false">
      <c r="A266" s="13"/>
      <c r="B266" s="48"/>
      <c r="C266" s="48"/>
      <c r="D266" s="48"/>
      <c r="E266" s="15"/>
      <c r="F266" s="15"/>
      <c r="G266" s="16"/>
      <c r="H266" s="17"/>
      <c r="I266" s="17"/>
      <c r="J266" s="17"/>
      <c r="K266" s="17"/>
      <c r="L266" s="16"/>
      <c r="M266" s="17"/>
      <c r="N266" s="16"/>
      <c r="O266" s="17"/>
      <c r="P266" s="15"/>
      <c r="Q266" s="17"/>
      <c r="R266" s="17"/>
      <c r="S266" s="17"/>
      <c r="T266" s="17"/>
      <c r="U266" s="18" t="str">
        <f aca="false">IF(A266="","",IF(N(G266)-N(L266)-N(N266)&lt;0,"Check shares",IF(AND(P266&lt;&gt;"",Q266&lt;&gt;""),"Closed","Open")))</f>
        <v/>
      </c>
      <c r="V266" s="19" t="str">
        <f aca="false">IF(OR(F266="",P266=""),"",NETWORKDAYS(F266,P266,Lists!$F$5:$F$40)-1)</f>
        <v/>
      </c>
      <c r="W266" s="18" t="str">
        <f aca="false">IF(V266="","",IF(V266=0,"Same day","Overnight"))</f>
        <v/>
      </c>
      <c r="X266" s="18" t="str">
        <f aca="false">IF(OR(E266="",F266=""),"",IF(AND(E266&gt;=F266,OR(P266="",E266&lt;=P266)),"Yes","No"))</f>
        <v/>
      </c>
      <c r="Y266" s="20" t="str">
        <f aca="false">IF(A266="","",N(G266)-N(L266)-N(N266))</f>
        <v/>
      </c>
      <c r="Z266" s="21" t="str">
        <f aca="false">IF(OR(G266="",H266="",I266=""),"",ABS(H266-I266)*G266)</f>
        <v/>
      </c>
      <c r="AA266" s="22" t="str">
        <f aca="false">IF(OR(J266="",N(Z266)=0),"",ABS(J266-H266)/ABS(H266-I266))</f>
        <v/>
      </c>
      <c r="AB266" s="23" t="str">
        <f aca="false">IF(U266&lt;&gt;"Closed","",(N(L266)*N(M266)+N(N266)*N(O266)+Y266*Q266)/G266)</f>
        <v/>
      </c>
      <c r="AC266" s="24" t="str">
        <f aca="false">IF(U266&lt;&gt;"Closed","",IF($B266="Short",-1,1)*((N(M266)-H266)*N(L266)+(N(O266)-H266)*N(N266)+(Q266-H266)*Y266)-N(R266))</f>
        <v/>
      </c>
      <c r="AD266" s="25" t="str">
        <f aca="false">IF(OR(AC266="",N(Z266)=0),"",AC266/Z266)</f>
        <v/>
      </c>
      <c r="AE266" s="25" t="str">
        <f aca="false">IF(OR(S266="",N(Z266)=0),"",IF($B266="Short",-1,1)*(S266-H266)*G266/Z266)</f>
        <v/>
      </c>
      <c r="AF266" s="25" t="str">
        <f aca="false">IF(OR(T266="",N(Z266)=0),"",IF($B266="Short",-1,1)*(T266-H266)*G266/Z266)</f>
        <v/>
      </c>
      <c r="AG266" s="21" t="str">
        <f aca="false">IF(U266&lt;&gt;"Open","",Y266*MAX(0,IF($B266="Short",-1,1)*(H266-IF(K266="",I266,K266))))</f>
        <v/>
      </c>
      <c r="AH266" s="26" t="str">
        <f aca="false">IF(U266&lt;&gt;"Closed","",DATE(YEAR(P266),MONTH(P266),1))</f>
        <v/>
      </c>
      <c r="AI266" s="19" t="str">
        <f aca="false">IF(U266&lt;&gt;"Closed","",COUNTIFS($U$7:$U$506,"Closed",$P$7:$P$506,"&lt;"&amp;P266)+COUNTIFS($U$7:U266,"Closed",$P$7:P266,P266))</f>
        <v/>
      </c>
    </row>
    <row r="267" customFormat="false" ht="15" hidden="false" customHeight="false" outlineLevel="0" collapsed="false">
      <c r="A267" s="13"/>
      <c r="B267" s="48"/>
      <c r="C267" s="48"/>
      <c r="D267" s="48"/>
      <c r="E267" s="15"/>
      <c r="F267" s="15"/>
      <c r="G267" s="16"/>
      <c r="H267" s="17"/>
      <c r="I267" s="17"/>
      <c r="J267" s="17"/>
      <c r="K267" s="17"/>
      <c r="L267" s="16"/>
      <c r="M267" s="17"/>
      <c r="N267" s="16"/>
      <c r="O267" s="17"/>
      <c r="P267" s="15"/>
      <c r="Q267" s="17"/>
      <c r="R267" s="17"/>
      <c r="S267" s="17"/>
      <c r="T267" s="17"/>
      <c r="U267" s="18" t="str">
        <f aca="false">IF(A267="","",IF(N(G267)-N(L267)-N(N267)&lt;0,"Check shares",IF(AND(P267&lt;&gt;"",Q267&lt;&gt;""),"Closed","Open")))</f>
        <v/>
      </c>
      <c r="V267" s="19" t="str">
        <f aca="false">IF(OR(F267="",P267=""),"",NETWORKDAYS(F267,P267,Lists!$F$5:$F$40)-1)</f>
        <v/>
      </c>
      <c r="W267" s="18" t="str">
        <f aca="false">IF(V267="","",IF(V267=0,"Same day","Overnight"))</f>
        <v/>
      </c>
      <c r="X267" s="18" t="str">
        <f aca="false">IF(OR(E267="",F267=""),"",IF(AND(E267&gt;=F267,OR(P267="",E267&lt;=P267)),"Yes","No"))</f>
        <v/>
      </c>
      <c r="Y267" s="20" t="str">
        <f aca="false">IF(A267="","",N(G267)-N(L267)-N(N267))</f>
        <v/>
      </c>
      <c r="Z267" s="21" t="str">
        <f aca="false">IF(OR(G267="",H267="",I267=""),"",ABS(H267-I267)*G267)</f>
        <v/>
      </c>
      <c r="AA267" s="22" t="str">
        <f aca="false">IF(OR(J267="",N(Z267)=0),"",ABS(J267-H267)/ABS(H267-I267))</f>
        <v/>
      </c>
      <c r="AB267" s="23" t="str">
        <f aca="false">IF(U267&lt;&gt;"Closed","",(N(L267)*N(M267)+N(N267)*N(O267)+Y267*Q267)/G267)</f>
        <v/>
      </c>
      <c r="AC267" s="24" t="str">
        <f aca="false">IF(U267&lt;&gt;"Closed","",IF($B267="Short",-1,1)*((N(M267)-H267)*N(L267)+(N(O267)-H267)*N(N267)+(Q267-H267)*Y267)-N(R267))</f>
        <v/>
      </c>
      <c r="AD267" s="25" t="str">
        <f aca="false">IF(OR(AC267="",N(Z267)=0),"",AC267/Z267)</f>
        <v/>
      </c>
      <c r="AE267" s="25" t="str">
        <f aca="false">IF(OR(S267="",N(Z267)=0),"",IF($B267="Short",-1,1)*(S267-H267)*G267/Z267)</f>
        <v/>
      </c>
      <c r="AF267" s="25" t="str">
        <f aca="false">IF(OR(T267="",N(Z267)=0),"",IF($B267="Short",-1,1)*(T267-H267)*G267/Z267)</f>
        <v/>
      </c>
      <c r="AG267" s="21" t="str">
        <f aca="false">IF(U267&lt;&gt;"Open","",Y267*MAX(0,IF($B267="Short",-1,1)*(H267-IF(K267="",I267,K267))))</f>
        <v/>
      </c>
      <c r="AH267" s="26" t="str">
        <f aca="false">IF(U267&lt;&gt;"Closed","",DATE(YEAR(P267),MONTH(P267),1))</f>
        <v/>
      </c>
      <c r="AI267" s="19" t="str">
        <f aca="false">IF(U267&lt;&gt;"Closed","",COUNTIFS($U$7:$U$506,"Closed",$P$7:$P$506,"&lt;"&amp;P267)+COUNTIFS($U$7:U267,"Closed",$P$7:P267,P267))</f>
        <v/>
      </c>
    </row>
    <row r="268" customFormat="false" ht="15" hidden="false" customHeight="false" outlineLevel="0" collapsed="false">
      <c r="A268" s="13"/>
      <c r="B268" s="48"/>
      <c r="C268" s="48"/>
      <c r="D268" s="48"/>
      <c r="E268" s="15"/>
      <c r="F268" s="15"/>
      <c r="G268" s="16"/>
      <c r="H268" s="17"/>
      <c r="I268" s="17"/>
      <c r="J268" s="17"/>
      <c r="K268" s="17"/>
      <c r="L268" s="16"/>
      <c r="M268" s="17"/>
      <c r="N268" s="16"/>
      <c r="O268" s="17"/>
      <c r="P268" s="15"/>
      <c r="Q268" s="17"/>
      <c r="R268" s="17"/>
      <c r="S268" s="17"/>
      <c r="T268" s="17"/>
      <c r="U268" s="18" t="str">
        <f aca="false">IF(A268="","",IF(N(G268)-N(L268)-N(N268)&lt;0,"Check shares",IF(AND(P268&lt;&gt;"",Q268&lt;&gt;""),"Closed","Open")))</f>
        <v/>
      </c>
      <c r="V268" s="19" t="str">
        <f aca="false">IF(OR(F268="",P268=""),"",NETWORKDAYS(F268,P268,Lists!$F$5:$F$40)-1)</f>
        <v/>
      </c>
      <c r="W268" s="18" t="str">
        <f aca="false">IF(V268="","",IF(V268=0,"Same day","Overnight"))</f>
        <v/>
      </c>
      <c r="X268" s="18" t="str">
        <f aca="false">IF(OR(E268="",F268=""),"",IF(AND(E268&gt;=F268,OR(P268="",E268&lt;=P268)),"Yes","No"))</f>
        <v/>
      </c>
      <c r="Y268" s="20" t="str">
        <f aca="false">IF(A268="","",N(G268)-N(L268)-N(N268))</f>
        <v/>
      </c>
      <c r="Z268" s="21" t="str">
        <f aca="false">IF(OR(G268="",H268="",I268=""),"",ABS(H268-I268)*G268)</f>
        <v/>
      </c>
      <c r="AA268" s="22" t="str">
        <f aca="false">IF(OR(J268="",N(Z268)=0),"",ABS(J268-H268)/ABS(H268-I268))</f>
        <v/>
      </c>
      <c r="AB268" s="23" t="str">
        <f aca="false">IF(U268&lt;&gt;"Closed","",(N(L268)*N(M268)+N(N268)*N(O268)+Y268*Q268)/G268)</f>
        <v/>
      </c>
      <c r="AC268" s="24" t="str">
        <f aca="false">IF(U268&lt;&gt;"Closed","",IF($B268="Short",-1,1)*((N(M268)-H268)*N(L268)+(N(O268)-H268)*N(N268)+(Q268-H268)*Y268)-N(R268))</f>
        <v/>
      </c>
      <c r="AD268" s="25" t="str">
        <f aca="false">IF(OR(AC268="",N(Z268)=0),"",AC268/Z268)</f>
        <v/>
      </c>
      <c r="AE268" s="25" t="str">
        <f aca="false">IF(OR(S268="",N(Z268)=0),"",IF($B268="Short",-1,1)*(S268-H268)*G268/Z268)</f>
        <v/>
      </c>
      <c r="AF268" s="25" t="str">
        <f aca="false">IF(OR(T268="",N(Z268)=0),"",IF($B268="Short",-1,1)*(T268-H268)*G268/Z268)</f>
        <v/>
      </c>
      <c r="AG268" s="21" t="str">
        <f aca="false">IF(U268&lt;&gt;"Open","",Y268*MAX(0,IF($B268="Short",-1,1)*(H268-IF(K268="",I268,K268))))</f>
        <v/>
      </c>
      <c r="AH268" s="26" t="str">
        <f aca="false">IF(U268&lt;&gt;"Closed","",DATE(YEAR(P268),MONTH(P268),1))</f>
        <v/>
      </c>
      <c r="AI268" s="19" t="str">
        <f aca="false">IF(U268&lt;&gt;"Closed","",COUNTIFS($U$7:$U$506,"Closed",$P$7:$P$506,"&lt;"&amp;P268)+COUNTIFS($U$7:U268,"Closed",$P$7:P268,P268))</f>
        <v/>
      </c>
    </row>
    <row r="269" customFormat="false" ht="15" hidden="false" customHeight="false" outlineLevel="0" collapsed="false">
      <c r="A269" s="13"/>
      <c r="B269" s="48"/>
      <c r="C269" s="48"/>
      <c r="D269" s="48"/>
      <c r="E269" s="15"/>
      <c r="F269" s="15"/>
      <c r="G269" s="16"/>
      <c r="H269" s="17"/>
      <c r="I269" s="17"/>
      <c r="J269" s="17"/>
      <c r="K269" s="17"/>
      <c r="L269" s="16"/>
      <c r="M269" s="17"/>
      <c r="N269" s="16"/>
      <c r="O269" s="17"/>
      <c r="P269" s="15"/>
      <c r="Q269" s="17"/>
      <c r="R269" s="17"/>
      <c r="S269" s="17"/>
      <c r="T269" s="17"/>
      <c r="U269" s="18" t="str">
        <f aca="false">IF(A269="","",IF(N(G269)-N(L269)-N(N269)&lt;0,"Check shares",IF(AND(P269&lt;&gt;"",Q269&lt;&gt;""),"Closed","Open")))</f>
        <v/>
      </c>
      <c r="V269" s="19" t="str">
        <f aca="false">IF(OR(F269="",P269=""),"",NETWORKDAYS(F269,P269,Lists!$F$5:$F$40)-1)</f>
        <v/>
      </c>
      <c r="W269" s="18" t="str">
        <f aca="false">IF(V269="","",IF(V269=0,"Same day","Overnight"))</f>
        <v/>
      </c>
      <c r="X269" s="18" t="str">
        <f aca="false">IF(OR(E269="",F269=""),"",IF(AND(E269&gt;=F269,OR(P269="",E269&lt;=P269)),"Yes","No"))</f>
        <v/>
      </c>
      <c r="Y269" s="20" t="str">
        <f aca="false">IF(A269="","",N(G269)-N(L269)-N(N269))</f>
        <v/>
      </c>
      <c r="Z269" s="21" t="str">
        <f aca="false">IF(OR(G269="",H269="",I269=""),"",ABS(H269-I269)*G269)</f>
        <v/>
      </c>
      <c r="AA269" s="22" t="str">
        <f aca="false">IF(OR(J269="",N(Z269)=0),"",ABS(J269-H269)/ABS(H269-I269))</f>
        <v/>
      </c>
      <c r="AB269" s="23" t="str">
        <f aca="false">IF(U269&lt;&gt;"Closed","",(N(L269)*N(M269)+N(N269)*N(O269)+Y269*Q269)/G269)</f>
        <v/>
      </c>
      <c r="AC269" s="24" t="str">
        <f aca="false">IF(U269&lt;&gt;"Closed","",IF($B269="Short",-1,1)*((N(M269)-H269)*N(L269)+(N(O269)-H269)*N(N269)+(Q269-H269)*Y269)-N(R269))</f>
        <v/>
      </c>
      <c r="AD269" s="25" t="str">
        <f aca="false">IF(OR(AC269="",N(Z269)=0),"",AC269/Z269)</f>
        <v/>
      </c>
      <c r="AE269" s="25" t="str">
        <f aca="false">IF(OR(S269="",N(Z269)=0),"",IF($B269="Short",-1,1)*(S269-H269)*G269/Z269)</f>
        <v/>
      </c>
      <c r="AF269" s="25" t="str">
        <f aca="false">IF(OR(T269="",N(Z269)=0),"",IF($B269="Short",-1,1)*(T269-H269)*G269/Z269)</f>
        <v/>
      </c>
      <c r="AG269" s="21" t="str">
        <f aca="false">IF(U269&lt;&gt;"Open","",Y269*MAX(0,IF($B269="Short",-1,1)*(H269-IF(K269="",I269,K269))))</f>
        <v/>
      </c>
      <c r="AH269" s="26" t="str">
        <f aca="false">IF(U269&lt;&gt;"Closed","",DATE(YEAR(P269),MONTH(P269),1))</f>
        <v/>
      </c>
      <c r="AI269" s="19" t="str">
        <f aca="false">IF(U269&lt;&gt;"Closed","",COUNTIFS($U$7:$U$506,"Closed",$P$7:$P$506,"&lt;"&amp;P269)+COUNTIFS($U$7:U269,"Closed",$P$7:P269,P269))</f>
        <v/>
      </c>
    </row>
    <row r="270" customFormat="false" ht="15" hidden="false" customHeight="false" outlineLevel="0" collapsed="false">
      <c r="A270" s="13"/>
      <c r="B270" s="48"/>
      <c r="C270" s="48"/>
      <c r="D270" s="48"/>
      <c r="E270" s="15"/>
      <c r="F270" s="15"/>
      <c r="G270" s="16"/>
      <c r="H270" s="17"/>
      <c r="I270" s="17"/>
      <c r="J270" s="17"/>
      <c r="K270" s="17"/>
      <c r="L270" s="16"/>
      <c r="M270" s="17"/>
      <c r="N270" s="16"/>
      <c r="O270" s="17"/>
      <c r="P270" s="15"/>
      <c r="Q270" s="17"/>
      <c r="R270" s="17"/>
      <c r="S270" s="17"/>
      <c r="T270" s="17"/>
      <c r="U270" s="18" t="str">
        <f aca="false">IF(A270="","",IF(N(G270)-N(L270)-N(N270)&lt;0,"Check shares",IF(AND(P270&lt;&gt;"",Q270&lt;&gt;""),"Closed","Open")))</f>
        <v/>
      </c>
      <c r="V270" s="19" t="str">
        <f aca="false">IF(OR(F270="",P270=""),"",NETWORKDAYS(F270,P270,Lists!$F$5:$F$40)-1)</f>
        <v/>
      </c>
      <c r="W270" s="18" t="str">
        <f aca="false">IF(V270="","",IF(V270=0,"Same day","Overnight"))</f>
        <v/>
      </c>
      <c r="X270" s="18" t="str">
        <f aca="false">IF(OR(E270="",F270=""),"",IF(AND(E270&gt;=F270,OR(P270="",E270&lt;=P270)),"Yes","No"))</f>
        <v/>
      </c>
      <c r="Y270" s="20" t="str">
        <f aca="false">IF(A270="","",N(G270)-N(L270)-N(N270))</f>
        <v/>
      </c>
      <c r="Z270" s="21" t="str">
        <f aca="false">IF(OR(G270="",H270="",I270=""),"",ABS(H270-I270)*G270)</f>
        <v/>
      </c>
      <c r="AA270" s="22" t="str">
        <f aca="false">IF(OR(J270="",N(Z270)=0),"",ABS(J270-H270)/ABS(H270-I270))</f>
        <v/>
      </c>
      <c r="AB270" s="23" t="str">
        <f aca="false">IF(U270&lt;&gt;"Closed","",(N(L270)*N(M270)+N(N270)*N(O270)+Y270*Q270)/G270)</f>
        <v/>
      </c>
      <c r="AC270" s="24" t="str">
        <f aca="false">IF(U270&lt;&gt;"Closed","",IF($B270="Short",-1,1)*((N(M270)-H270)*N(L270)+(N(O270)-H270)*N(N270)+(Q270-H270)*Y270)-N(R270))</f>
        <v/>
      </c>
      <c r="AD270" s="25" t="str">
        <f aca="false">IF(OR(AC270="",N(Z270)=0),"",AC270/Z270)</f>
        <v/>
      </c>
      <c r="AE270" s="25" t="str">
        <f aca="false">IF(OR(S270="",N(Z270)=0),"",IF($B270="Short",-1,1)*(S270-H270)*G270/Z270)</f>
        <v/>
      </c>
      <c r="AF270" s="25" t="str">
        <f aca="false">IF(OR(T270="",N(Z270)=0),"",IF($B270="Short",-1,1)*(T270-H270)*G270/Z270)</f>
        <v/>
      </c>
      <c r="AG270" s="21" t="str">
        <f aca="false">IF(U270&lt;&gt;"Open","",Y270*MAX(0,IF($B270="Short",-1,1)*(H270-IF(K270="",I270,K270))))</f>
        <v/>
      </c>
      <c r="AH270" s="26" t="str">
        <f aca="false">IF(U270&lt;&gt;"Closed","",DATE(YEAR(P270),MONTH(P270),1))</f>
        <v/>
      </c>
      <c r="AI270" s="19" t="str">
        <f aca="false">IF(U270&lt;&gt;"Closed","",COUNTIFS($U$7:$U$506,"Closed",$P$7:$P$506,"&lt;"&amp;P270)+COUNTIFS($U$7:U270,"Closed",$P$7:P270,P270))</f>
        <v/>
      </c>
    </row>
    <row r="271" customFormat="false" ht="15" hidden="false" customHeight="false" outlineLevel="0" collapsed="false">
      <c r="A271" s="13"/>
      <c r="B271" s="48"/>
      <c r="C271" s="48"/>
      <c r="D271" s="48"/>
      <c r="E271" s="15"/>
      <c r="F271" s="15"/>
      <c r="G271" s="16"/>
      <c r="H271" s="17"/>
      <c r="I271" s="17"/>
      <c r="J271" s="17"/>
      <c r="K271" s="17"/>
      <c r="L271" s="16"/>
      <c r="M271" s="17"/>
      <c r="N271" s="16"/>
      <c r="O271" s="17"/>
      <c r="P271" s="15"/>
      <c r="Q271" s="17"/>
      <c r="R271" s="17"/>
      <c r="S271" s="17"/>
      <c r="T271" s="17"/>
      <c r="U271" s="18" t="str">
        <f aca="false">IF(A271="","",IF(N(G271)-N(L271)-N(N271)&lt;0,"Check shares",IF(AND(P271&lt;&gt;"",Q271&lt;&gt;""),"Closed","Open")))</f>
        <v/>
      </c>
      <c r="V271" s="19" t="str">
        <f aca="false">IF(OR(F271="",P271=""),"",NETWORKDAYS(F271,P271,Lists!$F$5:$F$40)-1)</f>
        <v/>
      </c>
      <c r="W271" s="18" t="str">
        <f aca="false">IF(V271="","",IF(V271=0,"Same day","Overnight"))</f>
        <v/>
      </c>
      <c r="X271" s="18" t="str">
        <f aca="false">IF(OR(E271="",F271=""),"",IF(AND(E271&gt;=F271,OR(P271="",E271&lt;=P271)),"Yes","No"))</f>
        <v/>
      </c>
      <c r="Y271" s="20" t="str">
        <f aca="false">IF(A271="","",N(G271)-N(L271)-N(N271))</f>
        <v/>
      </c>
      <c r="Z271" s="21" t="str">
        <f aca="false">IF(OR(G271="",H271="",I271=""),"",ABS(H271-I271)*G271)</f>
        <v/>
      </c>
      <c r="AA271" s="22" t="str">
        <f aca="false">IF(OR(J271="",N(Z271)=0),"",ABS(J271-H271)/ABS(H271-I271))</f>
        <v/>
      </c>
      <c r="AB271" s="23" t="str">
        <f aca="false">IF(U271&lt;&gt;"Closed","",(N(L271)*N(M271)+N(N271)*N(O271)+Y271*Q271)/G271)</f>
        <v/>
      </c>
      <c r="AC271" s="24" t="str">
        <f aca="false">IF(U271&lt;&gt;"Closed","",IF($B271="Short",-1,1)*((N(M271)-H271)*N(L271)+(N(O271)-H271)*N(N271)+(Q271-H271)*Y271)-N(R271))</f>
        <v/>
      </c>
      <c r="AD271" s="25" t="str">
        <f aca="false">IF(OR(AC271="",N(Z271)=0),"",AC271/Z271)</f>
        <v/>
      </c>
      <c r="AE271" s="25" t="str">
        <f aca="false">IF(OR(S271="",N(Z271)=0),"",IF($B271="Short",-1,1)*(S271-H271)*G271/Z271)</f>
        <v/>
      </c>
      <c r="AF271" s="25" t="str">
        <f aca="false">IF(OR(T271="",N(Z271)=0),"",IF($B271="Short",-1,1)*(T271-H271)*G271/Z271)</f>
        <v/>
      </c>
      <c r="AG271" s="21" t="str">
        <f aca="false">IF(U271&lt;&gt;"Open","",Y271*MAX(0,IF($B271="Short",-1,1)*(H271-IF(K271="",I271,K271))))</f>
        <v/>
      </c>
      <c r="AH271" s="26" t="str">
        <f aca="false">IF(U271&lt;&gt;"Closed","",DATE(YEAR(P271),MONTH(P271),1))</f>
        <v/>
      </c>
      <c r="AI271" s="19" t="str">
        <f aca="false">IF(U271&lt;&gt;"Closed","",COUNTIFS($U$7:$U$506,"Closed",$P$7:$P$506,"&lt;"&amp;P271)+COUNTIFS($U$7:U271,"Closed",$P$7:P271,P271))</f>
        <v/>
      </c>
    </row>
    <row r="272" customFormat="false" ht="15" hidden="false" customHeight="false" outlineLevel="0" collapsed="false">
      <c r="A272" s="13"/>
      <c r="B272" s="48"/>
      <c r="C272" s="48"/>
      <c r="D272" s="48"/>
      <c r="E272" s="15"/>
      <c r="F272" s="15"/>
      <c r="G272" s="16"/>
      <c r="H272" s="17"/>
      <c r="I272" s="17"/>
      <c r="J272" s="17"/>
      <c r="K272" s="17"/>
      <c r="L272" s="16"/>
      <c r="M272" s="17"/>
      <c r="N272" s="16"/>
      <c r="O272" s="17"/>
      <c r="P272" s="15"/>
      <c r="Q272" s="17"/>
      <c r="R272" s="17"/>
      <c r="S272" s="17"/>
      <c r="T272" s="17"/>
      <c r="U272" s="18" t="str">
        <f aca="false">IF(A272="","",IF(N(G272)-N(L272)-N(N272)&lt;0,"Check shares",IF(AND(P272&lt;&gt;"",Q272&lt;&gt;""),"Closed","Open")))</f>
        <v/>
      </c>
      <c r="V272" s="19" t="str">
        <f aca="false">IF(OR(F272="",P272=""),"",NETWORKDAYS(F272,P272,Lists!$F$5:$F$40)-1)</f>
        <v/>
      </c>
      <c r="W272" s="18" t="str">
        <f aca="false">IF(V272="","",IF(V272=0,"Same day","Overnight"))</f>
        <v/>
      </c>
      <c r="X272" s="18" t="str">
        <f aca="false">IF(OR(E272="",F272=""),"",IF(AND(E272&gt;=F272,OR(P272="",E272&lt;=P272)),"Yes","No"))</f>
        <v/>
      </c>
      <c r="Y272" s="20" t="str">
        <f aca="false">IF(A272="","",N(G272)-N(L272)-N(N272))</f>
        <v/>
      </c>
      <c r="Z272" s="21" t="str">
        <f aca="false">IF(OR(G272="",H272="",I272=""),"",ABS(H272-I272)*G272)</f>
        <v/>
      </c>
      <c r="AA272" s="22" t="str">
        <f aca="false">IF(OR(J272="",N(Z272)=0),"",ABS(J272-H272)/ABS(H272-I272))</f>
        <v/>
      </c>
      <c r="AB272" s="23" t="str">
        <f aca="false">IF(U272&lt;&gt;"Closed","",(N(L272)*N(M272)+N(N272)*N(O272)+Y272*Q272)/G272)</f>
        <v/>
      </c>
      <c r="AC272" s="24" t="str">
        <f aca="false">IF(U272&lt;&gt;"Closed","",IF($B272="Short",-1,1)*((N(M272)-H272)*N(L272)+(N(O272)-H272)*N(N272)+(Q272-H272)*Y272)-N(R272))</f>
        <v/>
      </c>
      <c r="AD272" s="25" t="str">
        <f aca="false">IF(OR(AC272="",N(Z272)=0),"",AC272/Z272)</f>
        <v/>
      </c>
      <c r="AE272" s="25" t="str">
        <f aca="false">IF(OR(S272="",N(Z272)=0),"",IF($B272="Short",-1,1)*(S272-H272)*G272/Z272)</f>
        <v/>
      </c>
      <c r="AF272" s="25" t="str">
        <f aca="false">IF(OR(T272="",N(Z272)=0),"",IF($B272="Short",-1,1)*(T272-H272)*G272/Z272)</f>
        <v/>
      </c>
      <c r="AG272" s="21" t="str">
        <f aca="false">IF(U272&lt;&gt;"Open","",Y272*MAX(0,IF($B272="Short",-1,1)*(H272-IF(K272="",I272,K272))))</f>
        <v/>
      </c>
      <c r="AH272" s="26" t="str">
        <f aca="false">IF(U272&lt;&gt;"Closed","",DATE(YEAR(P272),MONTH(P272),1))</f>
        <v/>
      </c>
      <c r="AI272" s="19" t="str">
        <f aca="false">IF(U272&lt;&gt;"Closed","",COUNTIFS($U$7:$U$506,"Closed",$P$7:$P$506,"&lt;"&amp;P272)+COUNTIFS($U$7:U272,"Closed",$P$7:P272,P272))</f>
        <v/>
      </c>
    </row>
    <row r="273" customFormat="false" ht="15" hidden="false" customHeight="false" outlineLevel="0" collapsed="false">
      <c r="A273" s="13"/>
      <c r="B273" s="48"/>
      <c r="C273" s="48"/>
      <c r="D273" s="48"/>
      <c r="E273" s="15"/>
      <c r="F273" s="15"/>
      <c r="G273" s="16"/>
      <c r="H273" s="17"/>
      <c r="I273" s="17"/>
      <c r="J273" s="17"/>
      <c r="K273" s="17"/>
      <c r="L273" s="16"/>
      <c r="M273" s="17"/>
      <c r="N273" s="16"/>
      <c r="O273" s="17"/>
      <c r="P273" s="15"/>
      <c r="Q273" s="17"/>
      <c r="R273" s="17"/>
      <c r="S273" s="17"/>
      <c r="T273" s="17"/>
      <c r="U273" s="18" t="str">
        <f aca="false">IF(A273="","",IF(N(G273)-N(L273)-N(N273)&lt;0,"Check shares",IF(AND(P273&lt;&gt;"",Q273&lt;&gt;""),"Closed","Open")))</f>
        <v/>
      </c>
      <c r="V273" s="19" t="str">
        <f aca="false">IF(OR(F273="",P273=""),"",NETWORKDAYS(F273,P273,Lists!$F$5:$F$40)-1)</f>
        <v/>
      </c>
      <c r="W273" s="18" t="str">
        <f aca="false">IF(V273="","",IF(V273=0,"Same day","Overnight"))</f>
        <v/>
      </c>
      <c r="X273" s="18" t="str">
        <f aca="false">IF(OR(E273="",F273=""),"",IF(AND(E273&gt;=F273,OR(P273="",E273&lt;=P273)),"Yes","No"))</f>
        <v/>
      </c>
      <c r="Y273" s="20" t="str">
        <f aca="false">IF(A273="","",N(G273)-N(L273)-N(N273))</f>
        <v/>
      </c>
      <c r="Z273" s="21" t="str">
        <f aca="false">IF(OR(G273="",H273="",I273=""),"",ABS(H273-I273)*G273)</f>
        <v/>
      </c>
      <c r="AA273" s="22" t="str">
        <f aca="false">IF(OR(J273="",N(Z273)=0),"",ABS(J273-H273)/ABS(H273-I273))</f>
        <v/>
      </c>
      <c r="AB273" s="23" t="str">
        <f aca="false">IF(U273&lt;&gt;"Closed","",(N(L273)*N(M273)+N(N273)*N(O273)+Y273*Q273)/G273)</f>
        <v/>
      </c>
      <c r="AC273" s="24" t="str">
        <f aca="false">IF(U273&lt;&gt;"Closed","",IF($B273="Short",-1,1)*((N(M273)-H273)*N(L273)+(N(O273)-H273)*N(N273)+(Q273-H273)*Y273)-N(R273))</f>
        <v/>
      </c>
      <c r="AD273" s="25" t="str">
        <f aca="false">IF(OR(AC273="",N(Z273)=0),"",AC273/Z273)</f>
        <v/>
      </c>
      <c r="AE273" s="25" t="str">
        <f aca="false">IF(OR(S273="",N(Z273)=0),"",IF($B273="Short",-1,1)*(S273-H273)*G273/Z273)</f>
        <v/>
      </c>
      <c r="AF273" s="25" t="str">
        <f aca="false">IF(OR(T273="",N(Z273)=0),"",IF($B273="Short",-1,1)*(T273-H273)*G273/Z273)</f>
        <v/>
      </c>
      <c r="AG273" s="21" t="str">
        <f aca="false">IF(U273&lt;&gt;"Open","",Y273*MAX(0,IF($B273="Short",-1,1)*(H273-IF(K273="",I273,K273))))</f>
        <v/>
      </c>
      <c r="AH273" s="26" t="str">
        <f aca="false">IF(U273&lt;&gt;"Closed","",DATE(YEAR(P273),MONTH(P273),1))</f>
        <v/>
      </c>
      <c r="AI273" s="19" t="str">
        <f aca="false">IF(U273&lt;&gt;"Closed","",COUNTIFS($U$7:$U$506,"Closed",$P$7:$P$506,"&lt;"&amp;P273)+COUNTIFS($U$7:U273,"Closed",$P$7:P273,P273))</f>
        <v/>
      </c>
    </row>
    <row r="274" customFormat="false" ht="15" hidden="false" customHeight="false" outlineLevel="0" collapsed="false">
      <c r="A274" s="13"/>
      <c r="B274" s="48"/>
      <c r="C274" s="48"/>
      <c r="D274" s="48"/>
      <c r="E274" s="15"/>
      <c r="F274" s="15"/>
      <c r="G274" s="16"/>
      <c r="H274" s="17"/>
      <c r="I274" s="17"/>
      <c r="J274" s="17"/>
      <c r="K274" s="17"/>
      <c r="L274" s="16"/>
      <c r="M274" s="17"/>
      <c r="N274" s="16"/>
      <c r="O274" s="17"/>
      <c r="P274" s="15"/>
      <c r="Q274" s="17"/>
      <c r="R274" s="17"/>
      <c r="S274" s="17"/>
      <c r="T274" s="17"/>
      <c r="U274" s="18" t="str">
        <f aca="false">IF(A274="","",IF(N(G274)-N(L274)-N(N274)&lt;0,"Check shares",IF(AND(P274&lt;&gt;"",Q274&lt;&gt;""),"Closed","Open")))</f>
        <v/>
      </c>
      <c r="V274" s="19" t="str">
        <f aca="false">IF(OR(F274="",P274=""),"",NETWORKDAYS(F274,P274,Lists!$F$5:$F$40)-1)</f>
        <v/>
      </c>
      <c r="W274" s="18" t="str">
        <f aca="false">IF(V274="","",IF(V274=0,"Same day","Overnight"))</f>
        <v/>
      </c>
      <c r="X274" s="18" t="str">
        <f aca="false">IF(OR(E274="",F274=""),"",IF(AND(E274&gt;=F274,OR(P274="",E274&lt;=P274)),"Yes","No"))</f>
        <v/>
      </c>
      <c r="Y274" s="20" t="str">
        <f aca="false">IF(A274="","",N(G274)-N(L274)-N(N274))</f>
        <v/>
      </c>
      <c r="Z274" s="21" t="str">
        <f aca="false">IF(OR(G274="",H274="",I274=""),"",ABS(H274-I274)*G274)</f>
        <v/>
      </c>
      <c r="AA274" s="22" t="str">
        <f aca="false">IF(OR(J274="",N(Z274)=0),"",ABS(J274-H274)/ABS(H274-I274))</f>
        <v/>
      </c>
      <c r="AB274" s="23" t="str">
        <f aca="false">IF(U274&lt;&gt;"Closed","",(N(L274)*N(M274)+N(N274)*N(O274)+Y274*Q274)/G274)</f>
        <v/>
      </c>
      <c r="AC274" s="24" t="str">
        <f aca="false">IF(U274&lt;&gt;"Closed","",IF($B274="Short",-1,1)*((N(M274)-H274)*N(L274)+(N(O274)-H274)*N(N274)+(Q274-H274)*Y274)-N(R274))</f>
        <v/>
      </c>
      <c r="AD274" s="25" t="str">
        <f aca="false">IF(OR(AC274="",N(Z274)=0),"",AC274/Z274)</f>
        <v/>
      </c>
      <c r="AE274" s="25" t="str">
        <f aca="false">IF(OR(S274="",N(Z274)=0),"",IF($B274="Short",-1,1)*(S274-H274)*G274/Z274)</f>
        <v/>
      </c>
      <c r="AF274" s="25" t="str">
        <f aca="false">IF(OR(T274="",N(Z274)=0),"",IF($B274="Short",-1,1)*(T274-H274)*G274/Z274)</f>
        <v/>
      </c>
      <c r="AG274" s="21" t="str">
        <f aca="false">IF(U274&lt;&gt;"Open","",Y274*MAX(0,IF($B274="Short",-1,1)*(H274-IF(K274="",I274,K274))))</f>
        <v/>
      </c>
      <c r="AH274" s="26" t="str">
        <f aca="false">IF(U274&lt;&gt;"Closed","",DATE(YEAR(P274),MONTH(P274),1))</f>
        <v/>
      </c>
      <c r="AI274" s="19" t="str">
        <f aca="false">IF(U274&lt;&gt;"Closed","",COUNTIFS($U$7:$U$506,"Closed",$P$7:$P$506,"&lt;"&amp;P274)+COUNTIFS($U$7:U274,"Closed",$P$7:P274,P274))</f>
        <v/>
      </c>
    </row>
    <row r="275" customFormat="false" ht="15" hidden="false" customHeight="false" outlineLevel="0" collapsed="false">
      <c r="A275" s="13"/>
      <c r="B275" s="48"/>
      <c r="C275" s="48"/>
      <c r="D275" s="48"/>
      <c r="E275" s="15"/>
      <c r="F275" s="15"/>
      <c r="G275" s="16"/>
      <c r="H275" s="17"/>
      <c r="I275" s="17"/>
      <c r="J275" s="17"/>
      <c r="K275" s="17"/>
      <c r="L275" s="16"/>
      <c r="M275" s="17"/>
      <c r="N275" s="16"/>
      <c r="O275" s="17"/>
      <c r="P275" s="15"/>
      <c r="Q275" s="17"/>
      <c r="R275" s="17"/>
      <c r="S275" s="17"/>
      <c r="T275" s="17"/>
      <c r="U275" s="18" t="str">
        <f aca="false">IF(A275="","",IF(N(G275)-N(L275)-N(N275)&lt;0,"Check shares",IF(AND(P275&lt;&gt;"",Q275&lt;&gt;""),"Closed","Open")))</f>
        <v/>
      </c>
      <c r="V275" s="19" t="str">
        <f aca="false">IF(OR(F275="",P275=""),"",NETWORKDAYS(F275,P275,Lists!$F$5:$F$40)-1)</f>
        <v/>
      </c>
      <c r="W275" s="18" t="str">
        <f aca="false">IF(V275="","",IF(V275=0,"Same day","Overnight"))</f>
        <v/>
      </c>
      <c r="X275" s="18" t="str">
        <f aca="false">IF(OR(E275="",F275=""),"",IF(AND(E275&gt;=F275,OR(P275="",E275&lt;=P275)),"Yes","No"))</f>
        <v/>
      </c>
      <c r="Y275" s="20" t="str">
        <f aca="false">IF(A275="","",N(G275)-N(L275)-N(N275))</f>
        <v/>
      </c>
      <c r="Z275" s="21" t="str">
        <f aca="false">IF(OR(G275="",H275="",I275=""),"",ABS(H275-I275)*G275)</f>
        <v/>
      </c>
      <c r="AA275" s="22" t="str">
        <f aca="false">IF(OR(J275="",N(Z275)=0),"",ABS(J275-H275)/ABS(H275-I275))</f>
        <v/>
      </c>
      <c r="AB275" s="23" t="str">
        <f aca="false">IF(U275&lt;&gt;"Closed","",(N(L275)*N(M275)+N(N275)*N(O275)+Y275*Q275)/G275)</f>
        <v/>
      </c>
      <c r="AC275" s="24" t="str">
        <f aca="false">IF(U275&lt;&gt;"Closed","",IF($B275="Short",-1,1)*((N(M275)-H275)*N(L275)+(N(O275)-H275)*N(N275)+(Q275-H275)*Y275)-N(R275))</f>
        <v/>
      </c>
      <c r="AD275" s="25" t="str">
        <f aca="false">IF(OR(AC275="",N(Z275)=0),"",AC275/Z275)</f>
        <v/>
      </c>
      <c r="AE275" s="25" t="str">
        <f aca="false">IF(OR(S275="",N(Z275)=0),"",IF($B275="Short",-1,1)*(S275-H275)*G275/Z275)</f>
        <v/>
      </c>
      <c r="AF275" s="25" t="str">
        <f aca="false">IF(OR(T275="",N(Z275)=0),"",IF($B275="Short",-1,1)*(T275-H275)*G275/Z275)</f>
        <v/>
      </c>
      <c r="AG275" s="21" t="str">
        <f aca="false">IF(U275&lt;&gt;"Open","",Y275*MAX(0,IF($B275="Short",-1,1)*(H275-IF(K275="",I275,K275))))</f>
        <v/>
      </c>
      <c r="AH275" s="26" t="str">
        <f aca="false">IF(U275&lt;&gt;"Closed","",DATE(YEAR(P275),MONTH(P275),1))</f>
        <v/>
      </c>
      <c r="AI275" s="19" t="str">
        <f aca="false">IF(U275&lt;&gt;"Closed","",COUNTIFS($U$7:$U$506,"Closed",$P$7:$P$506,"&lt;"&amp;P275)+COUNTIFS($U$7:U275,"Closed",$P$7:P275,P275))</f>
        <v/>
      </c>
    </row>
    <row r="276" customFormat="false" ht="15" hidden="false" customHeight="false" outlineLevel="0" collapsed="false">
      <c r="A276" s="13"/>
      <c r="B276" s="48"/>
      <c r="C276" s="48"/>
      <c r="D276" s="48"/>
      <c r="E276" s="15"/>
      <c r="F276" s="15"/>
      <c r="G276" s="16"/>
      <c r="H276" s="17"/>
      <c r="I276" s="17"/>
      <c r="J276" s="17"/>
      <c r="K276" s="17"/>
      <c r="L276" s="16"/>
      <c r="M276" s="17"/>
      <c r="N276" s="16"/>
      <c r="O276" s="17"/>
      <c r="P276" s="15"/>
      <c r="Q276" s="17"/>
      <c r="R276" s="17"/>
      <c r="S276" s="17"/>
      <c r="T276" s="17"/>
      <c r="U276" s="18" t="str">
        <f aca="false">IF(A276="","",IF(N(G276)-N(L276)-N(N276)&lt;0,"Check shares",IF(AND(P276&lt;&gt;"",Q276&lt;&gt;""),"Closed","Open")))</f>
        <v/>
      </c>
      <c r="V276" s="19" t="str">
        <f aca="false">IF(OR(F276="",P276=""),"",NETWORKDAYS(F276,P276,Lists!$F$5:$F$40)-1)</f>
        <v/>
      </c>
      <c r="W276" s="18" t="str">
        <f aca="false">IF(V276="","",IF(V276=0,"Same day","Overnight"))</f>
        <v/>
      </c>
      <c r="X276" s="18" t="str">
        <f aca="false">IF(OR(E276="",F276=""),"",IF(AND(E276&gt;=F276,OR(P276="",E276&lt;=P276)),"Yes","No"))</f>
        <v/>
      </c>
      <c r="Y276" s="20" t="str">
        <f aca="false">IF(A276="","",N(G276)-N(L276)-N(N276))</f>
        <v/>
      </c>
      <c r="Z276" s="21" t="str">
        <f aca="false">IF(OR(G276="",H276="",I276=""),"",ABS(H276-I276)*G276)</f>
        <v/>
      </c>
      <c r="AA276" s="22" t="str">
        <f aca="false">IF(OR(J276="",N(Z276)=0),"",ABS(J276-H276)/ABS(H276-I276))</f>
        <v/>
      </c>
      <c r="AB276" s="23" t="str">
        <f aca="false">IF(U276&lt;&gt;"Closed","",(N(L276)*N(M276)+N(N276)*N(O276)+Y276*Q276)/G276)</f>
        <v/>
      </c>
      <c r="AC276" s="24" t="str">
        <f aca="false">IF(U276&lt;&gt;"Closed","",IF($B276="Short",-1,1)*((N(M276)-H276)*N(L276)+(N(O276)-H276)*N(N276)+(Q276-H276)*Y276)-N(R276))</f>
        <v/>
      </c>
      <c r="AD276" s="25" t="str">
        <f aca="false">IF(OR(AC276="",N(Z276)=0),"",AC276/Z276)</f>
        <v/>
      </c>
      <c r="AE276" s="25" t="str">
        <f aca="false">IF(OR(S276="",N(Z276)=0),"",IF($B276="Short",-1,1)*(S276-H276)*G276/Z276)</f>
        <v/>
      </c>
      <c r="AF276" s="25" t="str">
        <f aca="false">IF(OR(T276="",N(Z276)=0),"",IF($B276="Short",-1,1)*(T276-H276)*G276/Z276)</f>
        <v/>
      </c>
      <c r="AG276" s="21" t="str">
        <f aca="false">IF(U276&lt;&gt;"Open","",Y276*MAX(0,IF($B276="Short",-1,1)*(H276-IF(K276="",I276,K276))))</f>
        <v/>
      </c>
      <c r="AH276" s="26" t="str">
        <f aca="false">IF(U276&lt;&gt;"Closed","",DATE(YEAR(P276),MONTH(P276),1))</f>
        <v/>
      </c>
      <c r="AI276" s="19" t="str">
        <f aca="false">IF(U276&lt;&gt;"Closed","",COUNTIFS($U$7:$U$506,"Closed",$P$7:$P$506,"&lt;"&amp;P276)+COUNTIFS($U$7:U276,"Closed",$P$7:P276,P276))</f>
        <v/>
      </c>
    </row>
    <row r="277" customFormat="false" ht="15" hidden="false" customHeight="false" outlineLevel="0" collapsed="false">
      <c r="A277" s="13"/>
      <c r="B277" s="48"/>
      <c r="C277" s="48"/>
      <c r="D277" s="48"/>
      <c r="E277" s="15"/>
      <c r="F277" s="15"/>
      <c r="G277" s="16"/>
      <c r="H277" s="17"/>
      <c r="I277" s="17"/>
      <c r="J277" s="17"/>
      <c r="K277" s="17"/>
      <c r="L277" s="16"/>
      <c r="M277" s="17"/>
      <c r="N277" s="16"/>
      <c r="O277" s="17"/>
      <c r="P277" s="15"/>
      <c r="Q277" s="17"/>
      <c r="R277" s="17"/>
      <c r="S277" s="17"/>
      <c r="T277" s="17"/>
      <c r="U277" s="18" t="str">
        <f aca="false">IF(A277="","",IF(N(G277)-N(L277)-N(N277)&lt;0,"Check shares",IF(AND(P277&lt;&gt;"",Q277&lt;&gt;""),"Closed","Open")))</f>
        <v/>
      </c>
      <c r="V277" s="19" t="str">
        <f aca="false">IF(OR(F277="",P277=""),"",NETWORKDAYS(F277,P277,Lists!$F$5:$F$40)-1)</f>
        <v/>
      </c>
      <c r="W277" s="18" t="str">
        <f aca="false">IF(V277="","",IF(V277=0,"Same day","Overnight"))</f>
        <v/>
      </c>
      <c r="X277" s="18" t="str">
        <f aca="false">IF(OR(E277="",F277=""),"",IF(AND(E277&gt;=F277,OR(P277="",E277&lt;=P277)),"Yes","No"))</f>
        <v/>
      </c>
      <c r="Y277" s="20" t="str">
        <f aca="false">IF(A277="","",N(G277)-N(L277)-N(N277))</f>
        <v/>
      </c>
      <c r="Z277" s="21" t="str">
        <f aca="false">IF(OR(G277="",H277="",I277=""),"",ABS(H277-I277)*G277)</f>
        <v/>
      </c>
      <c r="AA277" s="22" t="str">
        <f aca="false">IF(OR(J277="",N(Z277)=0),"",ABS(J277-H277)/ABS(H277-I277))</f>
        <v/>
      </c>
      <c r="AB277" s="23" t="str">
        <f aca="false">IF(U277&lt;&gt;"Closed","",(N(L277)*N(M277)+N(N277)*N(O277)+Y277*Q277)/G277)</f>
        <v/>
      </c>
      <c r="AC277" s="24" t="str">
        <f aca="false">IF(U277&lt;&gt;"Closed","",IF($B277="Short",-1,1)*((N(M277)-H277)*N(L277)+(N(O277)-H277)*N(N277)+(Q277-H277)*Y277)-N(R277))</f>
        <v/>
      </c>
      <c r="AD277" s="25" t="str">
        <f aca="false">IF(OR(AC277="",N(Z277)=0),"",AC277/Z277)</f>
        <v/>
      </c>
      <c r="AE277" s="25" t="str">
        <f aca="false">IF(OR(S277="",N(Z277)=0),"",IF($B277="Short",-1,1)*(S277-H277)*G277/Z277)</f>
        <v/>
      </c>
      <c r="AF277" s="25" t="str">
        <f aca="false">IF(OR(T277="",N(Z277)=0),"",IF($B277="Short",-1,1)*(T277-H277)*G277/Z277)</f>
        <v/>
      </c>
      <c r="AG277" s="21" t="str">
        <f aca="false">IF(U277&lt;&gt;"Open","",Y277*MAX(0,IF($B277="Short",-1,1)*(H277-IF(K277="",I277,K277))))</f>
        <v/>
      </c>
      <c r="AH277" s="26" t="str">
        <f aca="false">IF(U277&lt;&gt;"Closed","",DATE(YEAR(P277),MONTH(P277),1))</f>
        <v/>
      </c>
      <c r="AI277" s="19" t="str">
        <f aca="false">IF(U277&lt;&gt;"Closed","",COUNTIFS($U$7:$U$506,"Closed",$P$7:$P$506,"&lt;"&amp;P277)+COUNTIFS($U$7:U277,"Closed",$P$7:P277,P277))</f>
        <v/>
      </c>
    </row>
    <row r="278" customFormat="false" ht="15" hidden="false" customHeight="false" outlineLevel="0" collapsed="false">
      <c r="A278" s="13"/>
      <c r="B278" s="48"/>
      <c r="C278" s="48"/>
      <c r="D278" s="48"/>
      <c r="E278" s="15"/>
      <c r="F278" s="15"/>
      <c r="G278" s="16"/>
      <c r="H278" s="17"/>
      <c r="I278" s="17"/>
      <c r="J278" s="17"/>
      <c r="K278" s="17"/>
      <c r="L278" s="16"/>
      <c r="M278" s="17"/>
      <c r="N278" s="16"/>
      <c r="O278" s="17"/>
      <c r="P278" s="15"/>
      <c r="Q278" s="17"/>
      <c r="R278" s="17"/>
      <c r="S278" s="17"/>
      <c r="T278" s="17"/>
      <c r="U278" s="18" t="str">
        <f aca="false">IF(A278="","",IF(N(G278)-N(L278)-N(N278)&lt;0,"Check shares",IF(AND(P278&lt;&gt;"",Q278&lt;&gt;""),"Closed","Open")))</f>
        <v/>
      </c>
      <c r="V278" s="19" t="str">
        <f aca="false">IF(OR(F278="",P278=""),"",NETWORKDAYS(F278,P278,Lists!$F$5:$F$40)-1)</f>
        <v/>
      </c>
      <c r="W278" s="18" t="str">
        <f aca="false">IF(V278="","",IF(V278=0,"Same day","Overnight"))</f>
        <v/>
      </c>
      <c r="X278" s="18" t="str">
        <f aca="false">IF(OR(E278="",F278=""),"",IF(AND(E278&gt;=F278,OR(P278="",E278&lt;=P278)),"Yes","No"))</f>
        <v/>
      </c>
      <c r="Y278" s="20" t="str">
        <f aca="false">IF(A278="","",N(G278)-N(L278)-N(N278))</f>
        <v/>
      </c>
      <c r="Z278" s="21" t="str">
        <f aca="false">IF(OR(G278="",H278="",I278=""),"",ABS(H278-I278)*G278)</f>
        <v/>
      </c>
      <c r="AA278" s="22" t="str">
        <f aca="false">IF(OR(J278="",N(Z278)=0),"",ABS(J278-H278)/ABS(H278-I278))</f>
        <v/>
      </c>
      <c r="AB278" s="23" t="str">
        <f aca="false">IF(U278&lt;&gt;"Closed","",(N(L278)*N(M278)+N(N278)*N(O278)+Y278*Q278)/G278)</f>
        <v/>
      </c>
      <c r="AC278" s="24" t="str">
        <f aca="false">IF(U278&lt;&gt;"Closed","",IF($B278="Short",-1,1)*((N(M278)-H278)*N(L278)+(N(O278)-H278)*N(N278)+(Q278-H278)*Y278)-N(R278))</f>
        <v/>
      </c>
      <c r="AD278" s="25" t="str">
        <f aca="false">IF(OR(AC278="",N(Z278)=0),"",AC278/Z278)</f>
        <v/>
      </c>
      <c r="AE278" s="25" t="str">
        <f aca="false">IF(OR(S278="",N(Z278)=0),"",IF($B278="Short",-1,1)*(S278-H278)*G278/Z278)</f>
        <v/>
      </c>
      <c r="AF278" s="25" t="str">
        <f aca="false">IF(OR(T278="",N(Z278)=0),"",IF($B278="Short",-1,1)*(T278-H278)*G278/Z278)</f>
        <v/>
      </c>
      <c r="AG278" s="21" t="str">
        <f aca="false">IF(U278&lt;&gt;"Open","",Y278*MAX(0,IF($B278="Short",-1,1)*(H278-IF(K278="",I278,K278))))</f>
        <v/>
      </c>
      <c r="AH278" s="26" t="str">
        <f aca="false">IF(U278&lt;&gt;"Closed","",DATE(YEAR(P278),MONTH(P278),1))</f>
        <v/>
      </c>
      <c r="AI278" s="19" t="str">
        <f aca="false">IF(U278&lt;&gt;"Closed","",COUNTIFS($U$7:$U$506,"Closed",$P$7:$P$506,"&lt;"&amp;P278)+COUNTIFS($U$7:U278,"Closed",$P$7:P278,P278))</f>
        <v/>
      </c>
    </row>
    <row r="279" customFormat="false" ht="15" hidden="false" customHeight="false" outlineLevel="0" collapsed="false">
      <c r="A279" s="13"/>
      <c r="B279" s="48"/>
      <c r="C279" s="48"/>
      <c r="D279" s="48"/>
      <c r="E279" s="15"/>
      <c r="F279" s="15"/>
      <c r="G279" s="16"/>
      <c r="H279" s="17"/>
      <c r="I279" s="17"/>
      <c r="J279" s="17"/>
      <c r="K279" s="17"/>
      <c r="L279" s="16"/>
      <c r="M279" s="17"/>
      <c r="N279" s="16"/>
      <c r="O279" s="17"/>
      <c r="P279" s="15"/>
      <c r="Q279" s="17"/>
      <c r="R279" s="17"/>
      <c r="S279" s="17"/>
      <c r="T279" s="17"/>
      <c r="U279" s="18" t="str">
        <f aca="false">IF(A279="","",IF(N(G279)-N(L279)-N(N279)&lt;0,"Check shares",IF(AND(P279&lt;&gt;"",Q279&lt;&gt;""),"Closed","Open")))</f>
        <v/>
      </c>
      <c r="V279" s="19" t="str">
        <f aca="false">IF(OR(F279="",P279=""),"",NETWORKDAYS(F279,P279,Lists!$F$5:$F$40)-1)</f>
        <v/>
      </c>
      <c r="W279" s="18" t="str">
        <f aca="false">IF(V279="","",IF(V279=0,"Same day","Overnight"))</f>
        <v/>
      </c>
      <c r="X279" s="18" t="str">
        <f aca="false">IF(OR(E279="",F279=""),"",IF(AND(E279&gt;=F279,OR(P279="",E279&lt;=P279)),"Yes","No"))</f>
        <v/>
      </c>
      <c r="Y279" s="20" t="str">
        <f aca="false">IF(A279="","",N(G279)-N(L279)-N(N279))</f>
        <v/>
      </c>
      <c r="Z279" s="21" t="str">
        <f aca="false">IF(OR(G279="",H279="",I279=""),"",ABS(H279-I279)*G279)</f>
        <v/>
      </c>
      <c r="AA279" s="22" t="str">
        <f aca="false">IF(OR(J279="",N(Z279)=0),"",ABS(J279-H279)/ABS(H279-I279))</f>
        <v/>
      </c>
      <c r="AB279" s="23" t="str">
        <f aca="false">IF(U279&lt;&gt;"Closed","",(N(L279)*N(M279)+N(N279)*N(O279)+Y279*Q279)/G279)</f>
        <v/>
      </c>
      <c r="AC279" s="24" t="str">
        <f aca="false">IF(U279&lt;&gt;"Closed","",IF($B279="Short",-1,1)*((N(M279)-H279)*N(L279)+(N(O279)-H279)*N(N279)+(Q279-H279)*Y279)-N(R279))</f>
        <v/>
      </c>
      <c r="AD279" s="25" t="str">
        <f aca="false">IF(OR(AC279="",N(Z279)=0),"",AC279/Z279)</f>
        <v/>
      </c>
      <c r="AE279" s="25" t="str">
        <f aca="false">IF(OR(S279="",N(Z279)=0),"",IF($B279="Short",-1,1)*(S279-H279)*G279/Z279)</f>
        <v/>
      </c>
      <c r="AF279" s="25" t="str">
        <f aca="false">IF(OR(T279="",N(Z279)=0),"",IF($B279="Short",-1,1)*(T279-H279)*G279/Z279)</f>
        <v/>
      </c>
      <c r="AG279" s="21" t="str">
        <f aca="false">IF(U279&lt;&gt;"Open","",Y279*MAX(0,IF($B279="Short",-1,1)*(H279-IF(K279="",I279,K279))))</f>
        <v/>
      </c>
      <c r="AH279" s="26" t="str">
        <f aca="false">IF(U279&lt;&gt;"Closed","",DATE(YEAR(P279),MONTH(P279),1))</f>
        <v/>
      </c>
      <c r="AI279" s="19" t="str">
        <f aca="false">IF(U279&lt;&gt;"Closed","",COUNTIFS($U$7:$U$506,"Closed",$P$7:$P$506,"&lt;"&amp;P279)+COUNTIFS($U$7:U279,"Closed",$P$7:P279,P279))</f>
        <v/>
      </c>
    </row>
    <row r="280" customFormat="false" ht="15" hidden="false" customHeight="false" outlineLevel="0" collapsed="false">
      <c r="A280" s="13"/>
      <c r="B280" s="48"/>
      <c r="C280" s="48"/>
      <c r="D280" s="48"/>
      <c r="E280" s="15"/>
      <c r="F280" s="15"/>
      <c r="G280" s="16"/>
      <c r="H280" s="17"/>
      <c r="I280" s="17"/>
      <c r="J280" s="17"/>
      <c r="K280" s="17"/>
      <c r="L280" s="16"/>
      <c r="M280" s="17"/>
      <c r="N280" s="16"/>
      <c r="O280" s="17"/>
      <c r="P280" s="15"/>
      <c r="Q280" s="17"/>
      <c r="R280" s="17"/>
      <c r="S280" s="17"/>
      <c r="T280" s="17"/>
      <c r="U280" s="18" t="str">
        <f aca="false">IF(A280="","",IF(N(G280)-N(L280)-N(N280)&lt;0,"Check shares",IF(AND(P280&lt;&gt;"",Q280&lt;&gt;""),"Closed","Open")))</f>
        <v/>
      </c>
      <c r="V280" s="19" t="str">
        <f aca="false">IF(OR(F280="",P280=""),"",NETWORKDAYS(F280,P280,Lists!$F$5:$F$40)-1)</f>
        <v/>
      </c>
      <c r="W280" s="18" t="str">
        <f aca="false">IF(V280="","",IF(V280=0,"Same day","Overnight"))</f>
        <v/>
      </c>
      <c r="X280" s="18" t="str">
        <f aca="false">IF(OR(E280="",F280=""),"",IF(AND(E280&gt;=F280,OR(P280="",E280&lt;=P280)),"Yes","No"))</f>
        <v/>
      </c>
      <c r="Y280" s="20" t="str">
        <f aca="false">IF(A280="","",N(G280)-N(L280)-N(N280))</f>
        <v/>
      </c>
      <c r="Z280" s="21" t="str">
        <f aca="false">IF(OR(G280="",H280="",I280=""),"",ABS(H280-I280)*G280)</f>
        <v/>
      </c>
      <c r="AA280" s="22" t="str">
        <f aca="false">IF(OR(J280="",N(Z280)=0),"",ABS(J280-H280)/ABS(H280-I280))</f>
        <v/>
      </c>
      <c r="AB280" s="23" t="str">
        <f aca="false">IF(U280&lt;&gt;"Closed","",(N(L280)*N(M280)+N(N280)*N(O280)+Y280*Q280)/G280)</f>
        <v/>
      </c>
      <c r="AC280" s="24" t="str">
        <f aca="false">IF(U280&lt;&gt;"Closed","",IF($B280="Short",-1,1)*((N(M280)-H280)*N(L280)+(N(O280)-H280)*N(N280)+(Q280-H280)*Y280)-N(R280))</f>
        <v/>
      </c>
      <c r="AD280" s="25" t="str">
        <f aca="false">IF(OR(AC280="",N(Z280)=0),"",AC280/Z280)</f>
        <v/>
      </c>
      <c r="AE280" s="25" t="str">
        <f aca="false">IF(OR(S280="",N(Z280)=0),"",IF($B280="Short",-1,1)*(S280-H280)*G280/Z280)</f>
        <v/>
      </c>
      <c r="AF280" s="25" t="str">
        <f aca="false">IF(OR(T280="",N(Z280)=0),"",IF($B280="Short",-1,1)*(T280-H280)*G280/Z280)</f>
        <v/>
      </c>
      <c r="AG280" s="21" t="str">
        <f aca="false">IF(U280&lt;&gt;"Open","",Y280*MAX(0,IF($B280="Short",-1,1)*(H280-IF(K280="",I280,K280))))</f>
        <v/>
      </c>
      <c r="AH280" s="26" t="str">
        <f aca="false">IF(U280&lt;&gt;"Closed","",DATE(YEAR(P280),MONTH(P280),1))</f>
        <v/>
      </c>
      <c r="AI280" s="19" t="str">
        <f aca="false">IF(U280&lt;&gt;"Closed","",COUNTIFS($U$7:$U$506,"Closed",$P$7:$P$506,"&lt;"&amp;P280)+COUNTIFS($U$7:U280,"Closed",$P$7:P280,P280))</f>
        <v/>
      </c>
    </row>
    <row r="281" customFormat="false" ht="15" hidden="false" customHeight="false" outlineLevel="0" collapsed="false">
      <c r="A281" s="13"/>
      <c r="B281" s="48"/>
      <c r="C281" s="48"/>
      <c r="D281" s="48"/>
      <c r="E281" s="15"/>
      <c r="F281" s="15"/>
      <c r="G281" s="16"/>
      <c r="H281" s="17"/>
      <c r="I281" s="17"/>
      <c r="J281" s="17"/>
      <c r="K281" s="17"/>
      <c r="L281" s="16"/>
      <c r="M281" s="17"/>
      <c r="N281" s="16"/>
      <c r="O281" s="17"/>
      <c r="P281" s="15"/>
      <c r="Q281" s="17"/>
      <c r="R281" s="17"/>
      <c r="S281" s="17"/>
      <c r="T281" s="17"/>
      <c r="U281" s="18" t="str">
        <f aca="false">IF(A281="","",IF(N(G281)-N(L281)-N(N281)&lt;0,"Check shares",IF(AND(P281&lt;&gt;"",Q281&lt;&gt;""),"Closed","Open")))</f>
        <v/>
      </c>
      <c r="V281" s="19" t="str">
        <f aca="false">IF(OR(F281="",P281=""),"",NETWORKDAYS(F281,P281,Lists!$F$5:$F$40)-1)</f>
        <v/>
      </c>
      <c r="W281" s="18" t="str">
        <f aca="false">IF(V281="","",IF(V281=0,"Same day","Overnight"))</f>
        <v/>
      </c>
      <c r="X281" s="18" t="str">
        <f aca="false">IF(OR(E281="",F281=""),"",IF(AND(E281&gt;=F281,OR(P281="",E281&lt;=P281)),"Yes","No"))</f>
        <v/>
      </c>
      <c r="Y281" s="20" t="str">
        <f aca="false">IF(A281="","",N(G281)-N(L281)-N(N281))</f>
        <v/>
      </c>
      <c r="Z281" s="21" t="str">
        <f aca="false">IF(OR(G281="",H281="",I281=""),"",ABS(H281-I281)*G281)</f>
        <v/>
      </c>
      <c r="AA281" s="22" t="str">
        <f aca="false">IF(OR(J281="",N(Z281)=0),"",ABS(J281-H281)/ABS(H281-I281))</f>
        <v/>
      </c>
      <c r="AB281" s="23" t="str">
        <f aca="false">IF(U281&lt;&gt;"Closed","",(N(L281)*N(M281)+N(N281)*N(O281)+Y281*Q281)/G281)</f>
        <v/>
      </c>
      <c r="AC281" s="24" t="str">
        <f aca="false">IF(U281&lt;&gt;"Closed","",IF($B281="Short",-1,1)*((N(M281)-H281)*N(L281)+(N(O281)-H281)*N(N281)+(Q281-H281)*Y281)-N(R281))</f>
        <v/>
      </c>
      <c r="AD281" s="25" t="str">
        <f aca="false">IF(OR(AC281="",N(Z281)=0),"",AC281/Z281)</f>
        <v/>
      </c>
      <c r="AE281" s="25" t="str">
        <f aca="false">IF(OR(S281="",N(Z281)=0),"",IF($B281="Short",-1,1)*(S281-H281)*G281/Z281)</f>
        <v/>
      </c>
      <c r="AF281" s="25" t="str">
        <f aca="false">IF(OR(T281="",N(Z281)=0),"",IF($B281="Short",-1,1)*(T281-H281)*G281/Z281)</f>
        <v/>
      </c>
      <c r="AG281" s="21" t="str">
        <f aca="false">IF(U281&lt;&gt;"Open","",Y281*MAX(0,IF($B281="Short",-1,1)*(H281-IF(K281="",I281,K281))))</f>
        <v/>
      </c>
      <c r="AH281" s="26" t="str">
        <f aca="false">IF(U281&lt;&gt;"Closed","",DATE(YEAR(P281),MONTH(P281),1))</f>
        <v/>
      </c>
      <c r="AI281" s="19" t="str">
        <f aca="false">IF(U281&lt;&gt;"Closed","",COUNTIFS($U$7:$U$506,"Closed",$P$7:$P$506,"&lt;"&amp;P281)+COUNTIFS($U$7:U281,"Closed",$P$7:P281,P281))</f>
        <v/>
      </c>
    </row>
    <row r="282" customFormat="false" ht="15" hidden="false" customHeight="false" outlineLevel="0" collapsed="false">
      <c r="A282" s="13"/>
      <c r="B282" s="48"/>
      <c r="C282" s="48"/>
      <c r="D282" s="48"/>
      <c r="E282" s="15"/>
      <c r="F282" s="15"/>
      <c r="G282" s="16"/>
      <c r="H282" s="17"/>
      <c r="I282" s="17"/>
      <c r="J282" s="17"/>
      <c r="K282" s="17"/>
      <c r="L282" s="16"/>
      <c r="M282" s="17"/>
      <c r="N282" s="16"/>
      <c r="O282" s="17"/>
      <c r="P282" s="15"/>
      <c r="Q282" s="17"/>
      <c r="R282" s="17"/>
      <c r="S282" s="17"/>
      <c r="T282" s="17"/>
      <c r="U282" s="18" t="str">
        <f aca="false">IF(A282="","",IF(N(G282)-N(L282)-N(N282)&lt;0,"Check shares",IF(AND(P282&lt;&gt;"",Q282&lt;&gt;""),"Closed","Open")))</f>
        <v/>
      </c>
      <c r="V282" s="19" t="str">
        <f aca="false">IF(OR(F282="",P282=""),"",NETWORKDAYS(F282,P282,Lists!$F$5:$F$40)-1)</f>
        <v/>
      </c>
      <c r="W282" s="18" t="str">
        <f aca="false">IF(V282="","",IF(V282=0,"Same day","Overnight"))</f>
        <v/>
      </c>
      <c r="X282" s="18" t="str">
        <f aca="false">IF(OR(E282="",F282=""),"",IF(AND(E282&gt;=F282,OR(P282="",E282&lt;=P282)),"Yes","No"))</f>
        <v/>
      </c>
      <c r="Y282" s="20" t="str">
        <f aca="false">IF(A282="","",N(G282)-N(L282)-N(N282))</f>
        <v/>
      </c>
      <c r="Z282" s="21" t="str">
        <f aca="false">IF(OR(G282="",H282="",I282=""),"",ABS(H282-I282)*G282)</f>
        <v/>
      </c>
      <c r="AA282" s="22" t="str">
        <f aca="false">IF(OR(J282="",N(Z282)=0),"",ABS(J282-H282)/ABS(H282-I282))</f>
        <v/>
      </c>
      <c r="AB282" s="23" t="str">
        <f aca="false">IF(U282&lt;&gt;"Closed","",(N(L282)*N(M282)+N(N282)*N(O282)+Y282*Q282)/G282)</f>
        <v/>
      </c>
      <c r="AC282" s="24" t="str">
        <f aca="false">IF(U282&lt;&gt;"Closed","",IF($B282="Short",-1,1)*((N(M282)-H282)*N(L282)+(N(O282)-H282)*N(N282)+(Q282-H282)*Y282)-N(R282))</f>
        <v/>
      </c>
      <c r="AD282" s="25" t="str">
        <f aca="false">IF(OR(AC282="",N(Z282)=0),"",AC282/Z282)</f>
        <v/>
      </c>
      <c r="AE282" s="25" t="str">
        <f aca="false">IF(OR(S282="",N(Z282)=0),"",IF($B282="Short",-1,1)*(S282-H282)*G282/Z282)</f>
        <v/>
      </c>
      <c r="AF282" s="25" t="str">
        <f aca="false">IF(OR(T282="",N(Z282)=0),"",IF($B282="Short",-1,1)*(T282-H282)*G282/Z282)</f>
        <v/>
      </c>
      <c r="AG282" s="21" t="str">
        <f aca="false">IF(U282&lt;&gt;"Open","",Y282*MAX(0,IF($B282="Short",-1,1)*(H282-IF(K282="",I282,K282))))</f>
        <v/>
      </c>
      <c r="AH282" s="26" t="str">
        <f aca="false">IF(U282&lt;&gt;"Closed","",DATE(YEAR(P282),MONTH(P282),1))</f>
        <v/>
      </c>
      <c r="AI282" s="19" t="str">
        <f aca="false">IF(U282&lt;&gt;"Closed","",COUNTIFS($U$7:$U$506,"Closed",$P$7:$P$506,"&lt;"&amp;P282)+COUNTIFS($U$7:U282,"Closed",$P$7:P282,P282))</f>
        <v/>
      </c>
    </row>
    <row r="283" customFormat="false" ht="15" hidden="false" customHeight="false" outlineLevel="0" collapsed="false">
      <c r="A283" s="13"/>
      <c r="B283" s="48"/>
      <c r="C283" s="48"/>
      <c r="D283" s="48"/>
      <c r="E283" s="15"/>
      <c r="F283" s="15"/>
      <c r="G283" s="16"/>
      <c r="H283" s="17"/>
      <c r="I283" s="17"/>
      <c r="J283" s="17"/>
      <c r="K283" s="17"/>
      <c r="L283" s="16"/>
      <c r="M283" s="17"/>
      <c r="N283" s="16"/>
      <c r="O283" s="17"/>
      <c r="P283" s="15"/>
      <c r="Q283" s="17"/>
      <c r="R283" s="17"/>
      <c r="S283" s="17"/>
      <c r="T283" s="17"/>
      <c r="U283" s="18" t="str">
        <f aca="false">IF(A283="","",IF(N(G283)-N(L283)-N(N283)&lt;0,"Check shares",IF(AND(P283&lt;&gt;"",Q283&lt;&gt;""),"Closed","Open")))</f>
        <v/>
      </c>
      <c r="V283" s="19" t="str">
        <f aca="false">IF(OR(F283="",P283=""),"",NETWORKDAYS(F283,P283,Lists!$F$5:$F$40)-1)</f>
        <v/>
      </c>
      <c r="W283" s="18" t="str">
        <f aca="false">IF(V283="","",IF(V283=0,"Same day","Overnight"))</f>
        <v/>
      </c>
      <c r="X283" s="18" t="str">
        <f aca="false">IF(OR(E283="",F283=""),"",IF(AND(E283&gt;=F283,OR(P283="",E283&lt;=P283)),"Yes","No"))</f>
        <v/>
      </c>
      <c r="Y283" s="20" t="str">
        <f aca="false">IF(A283="","",N(G283)-N(L283)-N(N283))</f>
        <v/>
      </c>
      <c r="Z283" s="21" t="str">
        <f aca="false">IF(OR(G283="",H283="",I283=""),"",ABS(H283-I283)*G283)</f>
        <v/>
      </c>
      <c r="AA283" s="22" t="str">
        <f aca="false">IF(OR(J283="",N(Z283)=0),"",ABS(J283-H283)/ABS(H283-I283))</f>
        <v/>
      </c>
      <c r="AB283" s="23" t="str">
        <f aca="false">IF(U283&lt;&gt;"Closed","",(N(L283)*N(M283)+N(N283)*N(O283)+Y283*Q283)/G283)</f>
        <v/>
      </c>
      <c r="AC283" s="24" t="str">
        <f aca="false">IF(U283&lt;&gt;"Closed","",IF($B283="Short",-1,1)*((N(M283)-H283)*N(L283)+(N(O283)-H283)*N(N283)+(Q283-H283)*Y283)-N(R283))</f>
        <v/>
      </c>
      <c r="AD283" s="25" t="str">
        <f aca="false">IF(OR(AC283="",N(Z283)=0),"",AC283/Z283)</f>
        <v/>
      </c>
      <c r="AE283" s="25" t="str">
        <f aca="false">IF(OR(S283="",N(Z283)=0),"",IF($B283="Short",-1,1)*(S283-H283)*G283/Z283)</f>
        <v/>
      </c>
      <c r="AF283" s="25" t="str">
        <f aca="false">IF(OR(T283="",N(Z283)=0),"",IF($B283="Short",-1,1)*(T283-H283)*G283/Z283)</f>
        <v/>
      </c>
      <c r="AG283" s="21" t="str">
        <f aca="false">IF(U283&lt;&gt;"Open","",Y283*MAX(0,IF($B283="Short",-1,1)*(H283-IF(K283="",I283,K283))))</f>
        <v/>
      </c>
      <c r="AH283" s="26" t="str">
        <f aca="false">IF(U283&lt;&gt;"Closed","",DATE(YEAR(P283),MONTH(P283),1))</f>
        <v/>
      </c>
      <c r="AI283" s="19" t="str">
        <f aca="false">IF(U283&lt;&gt;"Closed","",COUNTIFS($U$7:$U$506,"Closed",$P$7:$P$506,"&lt;"&amp;P283)+COUNTIFS($U$7:U283,"Closed",$P$7:P283,P283))</f>
        <v/>
      </c>
    </row>
    <row r="284" customFormat="false" ht="15" hidden="false" customHeight="false" outlineLevel="0" collapsed="false">
      <c r="A284" s="13"/>
      <c r="B284" s="48"/>
      <c r="C284" s="48"/>
      <c r="D284" s="48"/>
      <c r="E284" s="15"/>
      <c r="F284" s="15"/>
      <c r="G284" s="16"/>
      <c r="H284" s="17"/>
      <c r="I284" s="17"/>
      <c r="J284" s="17"/>
      <c r="K284" s="17"/>
      <c r="L284" s="16"/>
      <c r="M284" s="17"/>
      <c r="N284" s="16"/>
      <c r="O284" s="17"/>
      <c r="P284" s="15"/>
      <c r="Q284" s="17"/>
      <c r="R284" s="17"/>
      <c r="S284" s="17"/>
      <c r="T284" s="17"/>
      <c r="U284" s="18" t="str">
        <f aca="false">IF(A284="","",IF(N(G284)-N(L284)-N(N284)&lt;0,"Check shares",IF(AND(P284&lt;&gt;"",Q284&lt;&gt;""),"Closed","Open")))</f>
        <v/>
      </c>
      <c r="V284" s="19" t="str">
        <f aca="false">IF(OR(F284="",P284=""),"",NETWORKDAYS(F284,P284,Lists!$F$5:$F$40)-1)</f>
        <v/>
      </c>
      <c r="W284" s="18" t="str">
        <f aca="false">IF(V284="","",IF(V284=0,"Same day","Overnight"))</f>
        <v/>
      </c>
      <c r="X284" s="18" t="str">
        <f aca="false">IF(OR(E284="",F284=""),"",IF(AND(E284&gt;=F284,OR(P284="",E284&lt;=P284)),"Yes","No"))</f>
        <v/>
      </c>
      <c r="Y284" s="20" t="str">
        <f aca="false">IF(A284="","",N(G284)-N(L284)-N(N284))</f>
        <v/>
      </c>
      <c r="Z284" s="21" t="str">
        <f aca="false">IF(OR(G284="",H284="",I284=""),"",ABS(H284-I284)*G284)</f>
        <v/>
      </c>
      <c r="AA284" s="22" t="str">
        <f aca="false">IF(OR(J284="",N(Z284)=0),"",ABS(J284-H284)/ABS(H284-I284))</f>
        <v/>
      </c>
      <c r="AB284" s="23" t="str">
        <f aca="false">IF(U284&lt;&gt;"Closed","",(N(L284)*N(M284)+N(N284)*N(O284)+Y284*Q284)/G284)</f>
        <v/>
      </c>
      <c r="AC284" s="24" t="str">
        <f aca="false">IF(U284&lt;&gt;"Closed","",IF($B284="Short",-1,1)*((N(M284)-H284)*N(L284)+(N(O284)-H284)*N(N284)+(Q284-H284)*Y284)-N(R284))</f>
        <v/>
      </c>
      <c r="AD284" s="25" t="str">
        <f aca="false">IF(OR(AC284="",N(Z284)=0),"",AC284/Z284)</f>
        <v/>
      </c>
      <c r="AE284" s="25" t="str">
        <f aca="false">IF(OR(S284="",N(Z284)=0),"",IF($B284="Short",-1,1)*(S284-H284)*G284/Z284)</f>
        <v/>
      </c>
      <c r="AF284" s="25" t="str">
        <f aca="false">IF(OR(T284="",N(Z284)=0),"",IF($B284="Short",-1,1)*(T284-H284)*G284/Z284)</f>
        <v/>
      </c>
      <c r="AG284" s="21" t="str">
        <f aca="false">IF(U284&lt;&gt;"Open","",Y284*MAX(0,IF($B284="Short",-1,1)*(H284-IF(K284="",I284,K284))))</f>
        <v/>
      </c>
      <c r="AH284" s="26" t="str">
        <f aca="false">IF(U284&lt;&gt;"Closed","",DATE(YEAR(P284),MONTH(P284),1))</f>
        <v/>
      </c>
      <c r="AI284" s="19" t="str">
        <f aca="false">IF(U284&lt;&gt;"Closed","",COUNTIFS($U$7:$U$506,"Closed",$P$7:$P$506,"&lt;"&amp;P284)+COUNTIFS($U$7:U284,"Closed",$P$7:P284,P284))</f>
        <v/>
      </c>
    </row>
    <row r="285" customFormat="false" ht="15" hidden="false" customHeight="false" outlineLevel="0" collapsed="false">
      <c r="A285" s="13"/>
      <c r="B285" s="48"/>
      <c r="C285" s="48"/>
      <c r="D285" s="48"/>
      <c r="E285" s="15"/>
      <c r="F285" s="15"/>
      <c r="G285" s="16"/>
      <c r="H285" s="17"/>
      <c r="I285" s="17"/>
      <c r="J285" s="17"/>
      <c r="K285" s="17"/>
      <c r="L285" s="16"/>
      <c r="M285" s="17"/>
      <c r="N285" s="16"/>
      <c r="O285" s="17"/>
      <c r="P285" s="15"/>
      <c r="Q285" s="17"/>
      <c r="R285" s="17"/>
      <c r="S285" s="17"/>
      <c r="T285" s="17"/>
      <c r="U285" s="18" t="str">
        <f aca="false">IF(A285="","",IF(N(G285)-N(L285)-N(N285)&lt;0,"Check shares",IF(AND(P285&lt;&gt;"",Q285&lt;&gt;""),"Closed","Open")))</f>
        <v/>
      </c>
      <c r="V285" s="19" t="str">
        <f aca="false">IF(OR(F285="",P285=""),"",NETWORKDAYS(F285,P285,Lists!$F$5:$F$40)-1)</f>
        <v/>
      </c>
      <c r="W285" s="18" t="str">
        <f aca="false">IF(V285="","",IF(V285=0,"Same day","Overnight"))</f>
        <v/>
      </c>
      <c r="X285" s="18" t="str">
        <f aca="false">IF(OR(E285="",F285=""),"",IF(AND(E285&gt;=F285,OR(P285="",E285&lt;=P285)),"Yes","No"))</f>
        <v/>
      </c>
      <c r="Y285" s="20" t="str">
        <f aca="false">IF(A285="","",N(G285)-N(L285)-N(N285))</f>
        <v/>
      </c>
      <c r="Z285" s="21" t="str">
        <f aca="false">IF(OR(G285="",H285="",I285=""),"",ABS(H285-I285)*G285)</f>
        <v/>
      </c>
      <c r="AA285" s="22" t="str">
        <f aca="false">IF(OR(J285="",N(Z285)=0),"",ABS(J285-H285)/ABS(H285-I285))</f>
        <v/>
      </c>
      <c r="AB285" s="23" t="str">
        <f aca="false">IF(U285&lt;&gt;"Closed","",(N(L285)*N(M285)+N(N285)*N(O285)+Y285*Q285)/G285)</f>
        <v/>
      </c>
      <c r="AC285" s="24" t="str">
        <f aca="false">IF(U285&lt;&gt;"Closed","",IF($B285="Short",-1,1)*((N(M285)-H285)*N(L285)+(N(O285)-H285)*N(N285)+(Q285-H285)*Y285)-N(R285))</f>
        <v/>
      </c>
      <c r="AD285" s="25" t="str">
        <f aca="false">IF(OR(AC285="",N(Z285)=0),"",AC285/Z285)</f>
        <v/>
      </c>
      <c r="AE285" s="25" t="str">
        <f aca="false">IF(OR(S285="",N(Z285)=0),"",IF($B285="Short",-1,1)*(S285-H285)*G285/Z285)</f>
        <v/>
      </c>
      <c r="AF285" s="25" t="str">
        <f aca="false">IF(OR(T285="",N(Z285)=0),"",IF($B285="Short",-1,1)*(T285-H285)*G285/Z285)</f>
        <v/>
      </c>
      <c r="AG285" s="21" t="str">
        <f aca="false">IF(U285&lt;&gt;"Open","",Y285*MAX(0,IF($B285="Short",-1,1)*(H285-IF(K285="",I285,K285))))</f>
        <v/>
      </c>
      <c r="AH285" s="26" t="str">
        <f aca="false">IF(U285&lt;&gt;"Closed","",DATE(YEAR(P285),MONTH(P285),1))</f>
        <v/>
      </c>
      <c r="AI285" s="19" t="str">
        <f aca="false">IF(U285&lt;&gt;"Closed","",COUNTIFS($U$7:$U$506,"Closed",$P$7:$P$506,"&lt;"&amp;P285)+COUNTIFS($U$7:U285,"Closed",$P$7:P285,P285))</f>
        <v/>
      </c>
    </row>
    <row r="286" customFormat="false" ht="15" hidden="false" customHeight="false" outlineLevel="0" collapsed="false">
      <c r="A286" s="13"/>
      <c r="B286" s="48"/>
      <c r="C286" s="48"/>
      <c r="D286" s="48"/>
      <c r="E286" s="15"/>
      <c r="F286" s="15"/>
      <c r="G286" s="16"/>
      <c r="H286" s="17"/>
      <c r="I286" s="17"/>
      <c r="J286" s="17"/>
      <c r="K286" s="17"/>
      <c r="L286" s="16"/>
      <c r="M286" s="17"/>
      <c r="N286" s="16"/>
      <c r="O286" s="17"/>
      <c r="P286" s="15"/>
      <c r="Q286" s="17"/>
      <c r="R286" s="17"/>
      <c r="S286" s="17"/>
      <c r="T286" s="17"/>
      <c r="U286" s="18" t="str">
        <f aca="false">IF(A286="","",IF(N(G286)-N(L286)-N(N286)&lt;0,"Check shares",IF(AND(P286&lt;&gt;"",Q286&lt;&gt;""),"Closed","Open")))</f>
        <v/>
      </c>
      <c r="V286" s="19" t="str">
        <f aca="false">IF(OR(F286="",P286=""),"",NETWORKDAYS(F286,P286,Lists!$F$5:$F$40)-1)</f>
        <v/>
      </c>
      <c r="W286" s="18" t="str">
        <f aca="false">IF(V286="","",IF(V286=0,"Same day","Overnight"))</f>
        <v/>
      </c>
      <c r="X286" s="18" t="str">
        <f aca="false">IF(OR(E286="",F286=""),"",IF(AND(E286&gt;=F286,OR(P286="",E286&lt;=P286)),"Yes","No"))</f>
        <v/>
      </c>
      <c r="Y286" s="20" t="str">
        <f aca="false">IF(A286="","",N(G286)-N(L286)-N(N286))</f>
        <v/>
      </c>
      <c r="Z286" s="21" t="str">
        <f aca="false">IF(OR(G286="",H286="",I286=""),"",ABS(H286-I286)*G286)</f>
        <v/>
      </c>
      <c r="AA286" s="22" t="str">
        <f aca="false">IF(OR(J286="",N(Z286)=0),"",ABS(J286-H286)/ABS(H286-I286))</f>
        <v/>
      </c>
      <c r="AB286" s="23" t="str">
        <f aca="false">IF(U286&lt;&gt;"Closed","",(N(L286)*N(M286)+N(N286)*N(O286)+Y286*Q286)/G286)</f>
        <v/>
      </c>
      <c r="AC286" s="24" t="str">
        <f aca="false">IF(U286&lt;&gt;"Closed","",IF($B286="Short",-1,1)*((N(M286)-H286)*N(L286)+(N(O286)-H286)*N(N286)+(Q286-H286)*Y286)-N(R286))</f>
        <v/>
      </c>
      <c r="AD286" s="25" t="str">
        <f aca="false">IF(OR(AC286="",N(Z286)=0),"",AC286/Z286)</f>
        <v/>
      </c>
      <c r="AE286" s="25" t="str">
        <f aca="false">IF(OR(S286="",N(Z286)=0),"",IF($B286="Short",-1,1)*(S286-H286)*G286/Z286)</f>
        <v/>
      </c>
      <c r="AF286" s="25" t="str">
        <f aca="false">IF(OR(T286="",N(Z286)=0),"",IF($B286="Short",-1,1)*(T286-H286)*G286/Z286)</f>
        <v/>
      </c>
      <c r="AG286" s="21" t="str">
        <f aca="false">IF(U286&lt;&gt;"Open","",Y286*MAX(0,IF($B286="Short",-1,1)*(H286-IF(K286="",I286,K286))))</f>
        <v/>
      </c>
      <c r="AH286" s="26" t="str">
        <f aca="false">IF(U286&lt;&gt;"Closed","",DATE(YEAR(P286),MONTH(P286),1))</f>
        <v/>
      </c>
      <c r="AI286" s="19" t="str">
        <f aca="false">IF(U286&lt;&gt;"Closed","",COUNTIFS($U$7:$U$506,"Closed",$P$7:$P$506,"&lt;"&amp;P286)+COUNTIFS($U$7:U286,"Closed",$P$7:P286,P286))</f>
        <v/>
      </c>
    </row>
    <row r="287" customFormat="false" ht="15" hidden="false" customHeight="false" outlineLevel="0" collapsed="false">
      <c r="A287" s="13"/>
      <c r="B287" s="48"/>
      <c r="C287" s="48"/>
      <c r="D287" s="48"/>
      <c r="E287" s="15"/>
      <c r="F287" s="15"/>
      <c r="G287" s="16"/>
      <c r="H287" s="17"/>
      <c r="I287" s="17"/>
      <c r="J287" s="17"/>
      <c r="K287" s="17"/>
      <c r="L287" s="16"/>
      <c r="M287" s="17"/>
      <c r="N287" s="16"/>
      <c r="O287" s="17"/>
      <c r="P287" s="15"/>
      <c r="Q287" s="17"/>
      <c r="R287" s="17"/>
      <c r="S287" s="17"/>
      <c r="T287" s="17"/>
      <c r="U287" s="18" t="str">
        <f aca="false">IF(A287="","",IF(N(G287)-N(L287)-N(N287)&lt;0,"Check shares",IF(AND(P287&lt;&gt;"",Q287&lt;&gt;""),"Closed","Open")))</f>
        <v/>
      </c>
      <c r="V287" s="19" t="str">
        <f aca="false">IF(OR(F287="",P287=""),"",NETWORKDAYS(F287,P287,Lists!$F$5:$F$40)-1)</f>
        <v/>
      </c>
      <c r="W287" s="18" t="str">
        <f aca="false">IF(V287="","",IF(V287=0,"Same day","Overnight"))</f>
        <v/>
      </c>
      <c r="X287" s="18" t="str">
        <f aca="false">IF(OR(E287="",F287=""),"",IF(AND(E287&gt;=F287,OR(P287="",E287&lt;=P287)),"Yes","No"))</f>
        <v/>
      </c>
      <c r="Y287" s="20" t="str">
        <f aca="false">IF(A287="","",N(G287)-N(L287)-N(N287))</f>
        <v/>
      </c>
      <c r="Z287" s="21" t="str">
        <f aca="false">IF(OR(G287="",H287="",I287=""),"",ABS(H287-I287)*G287)</f>
        <v/>
      </c>
      <c r="AA287" s="22" t="str">
        <f aca="false">IF(OR(J287="",N(Z287)=0),"",ABS(J287-H287)/ABS(H287-I287))</f>
        <v/>
      </c>
      <c r="AB287" s="23" t="str">
        <f aca="false">IF(U287&lt;&gt;"Closed","",(N(L287)*N(M287)+N(N287)*N(O287)+Y287*Q287)/G287)</f>
        <v/>
      </c>
      <c r="AC287" s="24" t="str">
        <f aca="false">IF(U287&lt;&gt;"Closed","",IF($B287="Short",-1,1)*((N(M287)-H287)*N(L287)+(N(O287)-H287)*N(N287)+(Q287-H287)*Y287)-N(R287))</f>
        <v/>
      </c>
      <c r="AD287" s="25" t="str">
        <f aca="false">IF(OR(AC287="",N(Z287)=0),"",AC287/Z287)</f>
        <v/>
      </c>
      <c r="AE287" s="25" t="str">
        <f aca="false">IF(OR(S287="",N(Z287)=0),"",IF($B287="Short",-1,1)*(S287-H287)*G287/Z287)</f>
        <v/>
      </c>
      <c r="AF287" s="25" t="str">
        <f aca="false">IF(OR(T287="",N(Z287)=0),"",IF($B287="Short",-1,1)*(T287-H287)*G287/Z287)</f>
        <v/>
      </c>
      <c r="AG287" s="21" t="str">
        <f aca="false">IF(U287&lt;&gt;"Open","",Y287*MAX(0,IF($B287="Short",-1,1)*(H287-IF(K287="",I287,K287))))</f>
        <v/>
      </c>
      <c r="AH287" s="26" t="str">
        <f aca="false">IF(U287&lt;&gt;"Closed","",DATE(YEAR(P287),MONTH(P287),1))</f>
        <v/>
      </c>
      <c r="AI287" s="19" t="str">
        <f aca="false">IF(U287&lt;&gt;"Closed","",COUNTIFS($U$7:$U$506,"Closed",$P$7:$P$506,"&lt;"&amp;P287)+COUNTIFS($U$7:U287,"Closed",$P$7:P287,P287))</f>
        <v/>
      </c>
    </row>
    <row r="288" customFormat="false" ht="15" hidden="false" customHeight="false" outlineLevel="0" collapsed="false">
      <c r="A288" s="13"/>
      <c r="B288" s="48"/>
      <c r="C288" s="48"/>
      <c r="D288" s="48"/>
      <c r="E288" s="15"/>
      <c r="F288" s="15"/>
      <c r="G288" s="16"/>
      <c r="H288" s="17"/>
      <c r="I288" s="17"/>
      <c r="J288" s="17"/>
      <c r="K288" s="17"/>
      <c r="L288" s="16"/>
      <c r="M288" s="17"/>
      <c r="N288" s="16"/>
      <c r="O288" s="17"/>
      <c r="P288" s="15"/>
      <c r="Q288" s="17"/>
      <c r="R288" s="17"/>
      <c r="S288" s="17"/>
      <c r="T288" s="17"/>
      <c r="U288" s="18" t="str">
        <f aca="false">IF(A288="","",IF(N(G288)-N(L288)-N(N288)&lt;0,"Check shares",IF(AND(P288&lt;&gt;"",Q288&lt;&gt;""),"Closed","Open")))</f>
        <v/>
      </c>
      <c r="V288" s="19" t="str">
        <f aca="false">IF(OR(F288="",P288=""),"",NETWORKDAYS(F288,P288,Lists!$F$5:$F$40)-1)</f>
        <v/>
      </c>
      <c r="W288" s="18" t="str">
        <f aca="false">IF(V288="","",IF(V288=0,"Same day","Overnight"))</f>
        <v/>
      </c>
      <c r="X288" s="18" t="str">
        <f aca="false">IF(OR(E288="",F288=""),"",IF(AND(E288&gt;=F288,OR(P288="",E288&lt;=P288)),"Yes","No"))</f>
        <v/>
      </c>
      <c r="Y288" s="20" t="str">
        <f aca="false">IF(A288="","",N(G288)-N(L288)-N(N288))</f>
        <v/>
      </c>
      <c r="Z288" s="21" t="str">
        <f aca="false">IF(OR(G288="",H288="",I288=""),"",ABS(H288-I288)*G288)</f>
        <v/>
      </c>
      <c r="AA288" s="22" t="str">
        <f aca="false">IF(OR(J288="",N(Z288)=0),"",ABS(J288-H288)/ABS(H288-I288))</f>
        <v/>
      </c>
      <c r="AB288" s="23" t="str">
        <f aca="false">IF(U288&lt;&gt;"Closed","",(N(L288)*N(M288)+N(N288)*N(O288)+Y288*Q288)/G288)</f>
        <v/>
      </c>
      <c r="AC288" s="24" t="str">
        <f aca="false">IF(U288&lt;&gt;"Closed","",IF($B288="Short",-1,1)*((N(M288)-H288)*N(L288)+(N(O288)-H288)*N(N288)+(Q288-H288)*Y288)-N(R288))</f>
        <v/>
      </c>
      <c r="AD288" s="25" t="str">
        <f aca="false">IF(OR(AC288="",N(Z288)=0),"",AC288/Z288)</f>
        <v/>
      </c>
      <c r="AE288" s="25" t="str">
        <f aca="false">IF(OR(S288="",N(Z288)=0),"",IF($B288="Short",-1,1)*(S288-H288)*G288/Z288)</f>
        <v/>
      </c>
      <c r="AF288" s="25" t="str">
        <f aca="false">IF(OR(T288="",N(Z288)=0),"",IF($B288="Short",-1,1)*(T288-H288)*G288/Z288)</f>
        <v/>
      </c>
      <c r="AG288" s="21" t="str">
        <f aca="false">IF(U288&lt;&gt;"Open","",Y288*MAX(0,IF($B288="Short",-1,1)*(H288-IF(K288="",I288,K288))))</f>
        <v/>
      </c>
      <c r="AH288" s="26" t="str">
        <f aca="false">IF(U288&lt;&gt;"Closed","",DATE(YEAR(P288),MONTH(P288),1))</f>
        <v/>
      </c>
      <c r="AI288" s="19" t="str">
        <f aca="false">IF(U288&lt;&gt;"Closed","",COUNTIFS($U$7:$U$506,"Closed",$P$7:$P$506,"&lt;"&amp;P288)+COUNTIFS($U$7:U288,"Closed",$P$7:P288,P288))</f>
        <v/>
      </c>
    </row>
    <row r="289" customFormat="false" ht="15" hidden="false" customHeight="false" outlineLevel="0" collapsed="false">
      <c r="A289" s="13"/>
      <c r="B289" s="48"/>
      <c r="C289" s="48"/>
      <c r="D289" s="48"/>
      <c r="E289" s="15"/>
      <c r="F289" s="15"/>
      <c r="G289" s="16"/>
      <c r="H289" s="17"/>
      <c r="I289" s="17"/>
      <c r="J289" s="17"/>
      <c r="K289" s="17"/>
      <c r="L289" s="16"/>
      <c r="M289" s="17"/>
      <c r="N289" s="16"/>
      <c r="O289" s="17"/>
      <c r="P289" s="15"/>
      <c r="Q289" s="17"/>
      <c r="R289" s="17"/>
      <c r="S289" s="17"/>
      <c r="T289" s="17"/>
      <c r="U289" s="18" t="str">
        <f aca="false">IF(A289="","",IF(N(G289)-N(L289)-N(N289)&lt;0,"Check shares",IF(AND(P289&lt;&gt;"",Q289&lt;&gt;""),"Closed","Open")))</f>
        <v/>
      </c>
      <c r="V289" s="19" t="str">
        <f aca="false">IF(OR(F289="",P289=""),"",NETWORKDAYS(F289,P289,Lists!$F$5:$F$40)-1)</f>
        <v/>
      </c>
      <c r="W289" s="18" t="str">
        <f aca="false">IF(V289="","",IF(V289=0,"Same day","Overnight"))</f>
        <v/>
      </c>
      <c r="X289" s="18" t="str">
        <f aca="false">IF(OR(E289="",F289=""),"",IF(AND(E289&gt;=F289,OR(P289="",E289&lt;=P289)),"Yes","No"))</f>
        <v/>
      </c>
      <c r="Y289" s="20" t="str">
        <f aca="false">IF(A289="","",N(G289)-N(L289)-N(N289))</f>
        <v/>
      </c>
      <c r="Z289" s="21" t="str">
        <f aca="false">IF(OR(G289="",H289="",I289=""),"",ABS(H289-I289)*G289)</f>
        <v/>
      </c>
      <c r="AA289" s="22" t="str">
        <f aca="false">IF(OR(J289="",N(Z289)=0),"",ABS(J289-H289)/ABS(H289-I289))</f>
        <v/>
      </c>
      <c r="AB289" s="23" t="str">
        <f aca="false">IF(U289&lt;&gt;"Closed","",(N(L289)*N(M289)+N(N289)*N(O289)+Y289*Q289)/G289)</f>
        <v/>
      </c>
      <c r="AC289" s="24" t="str">
        <f aca="false">IF(U289&lt;&gt;"Closed","",IF($B289="Short",-1,1)*((N(M289)-H289)*N(L289)+(N(O289)-H289)*N(N289)+(Q289-H289)*Y289)-N(R289))</f>
        <v/>
      </c>
      <c r="AD289" s="25" t="str">
        <f aca="false">IF(OR(AC289="",N(Z289)=0),"",AC289/Z289)</f>
        <v/>
      </c>
      <c r="AE289" s="25" t="str">
        <f aca="false">IF(OR(S289="",N(Z289)=0),"",IF($B289="Short",-1,1)*(S289-H289)*G289/Z289)</f>
        <v/>
      </c>
      <c r="AF289" s="25" t="str">
        <f aca="false">IF(OR(T289="",N(Z289)=0),"",IF($B289="Short",-1,1)*(T289-H289)*G289/Z289)</f>
        <v/>
      </c>
      <c r="AG289" s="21" t="str">
        <f aca="false">IF(U289&lt;&gt;"Open","",Y289*MAX(0,IF($B289="Short",-1,1)*(H289-IF(K289="",I289,K289))))</f>
        <v/>
      </c>
      <c r="AH289" s="26" t="str">
        <f aca="false">IF(U289&lt;&gt;"Closed","",DATE(YEAR(P289),MONTH(P289),1))</f>
        <v/>
      </c>
      <c r="AI289" s="19" t="str">
        <f aca="false">IF(U289&lt;&gt;"Closed","",COUNTIFS($U$7:$U$506,"Closed",$P$7:$P$506,"&lt;"&amp;P289)+COUNTIFS($U$7:U289,"Closed",$P$7:P289,P289))</f>
        <v/>
      </c>
    </row>
    <row r="290" customFormat="false" ht="15" hidden="false" customHeight="false" outlineLevel="0" collapsed="false">
      <c r="A290" s="13"/>
      <c r="B290" s="48"/>
      <c r="C290" s="48"/>
      <c r="D290" s="48"/>
      <c r="E290" s="15"/>
      <c r="F290" s="15"/>
      <c r="G290" s="16"/>
      <c r="H290" s="17"/>
      <c r="I290" s="17"/>
      <c r="J290" s="17"/>
      <c r="K290" s="17"/>
      <c r="L290" s="16"/>
      <c r="M290" s="17"/>
      <c r="N290" s="16"/>
      <c r="O290" s="17"/>
      <c r="P290" s="15"/>
      <c r="Q290" s="17"/>
      <c r="R290" s="17"/>
      <c r="S290" s="17"/>
      <c r="T290" s="17"/>
      <c r="U290" s="18" t="str">
        <f aca="false">IF(A290="","",IF(N(G290)-N(L290)-N(N290)&lt;0,"Check shares",IF(AND(P290&lt;&gt;"",Q290&lt;&gt;""),"Closed","Open")))</f>
        <v/>
      </c>
      <c r="V290" s="19" t="str">
        <f aca="false">IF(OR(F290="",P290=""),"",NETWORKDAYS(F290,P290,Lists!$F$5:$F$40)-1)</f>
        <v/>
      </c>
      <c r="W290" s="18" t="str">
        <f aca="false">IF(V290="","",IF(V290=0,"Same day","Overnight"))</f>
        <v/>
      </c>
      <c r="X290" s="18" t="str">
        <f aca="false">IF(OR(E290="",F290=""),"",IF(AND(E290&gt;=F290,OR(P290="",E290&lt;=P290)),"Yes","No"))</f>
        <v/>
      </c>
      <c r="Y290" s="20" t="str">
        <f aca="false">IF(A290="","",N(G290)-N(L290)-N(N290))</f>
        <v/>
      </c>
      <c r="Z290" s="21" t="str">
        <f aca="false">IF(OR(G290="",H290="",I290=""),"",ABS(H290-I290)*G290)</f>
        <v/>
      </c>
      <c r="AA290" s="22" t="str">
        <f aca="false">IF(OR(J290="",N(Z290)=0),"",ABS(J290-H290)/ABS(H290-I290))</f>
        <v/>
      </c>
      <c r="AB290" s="23" t="str">
        <f aca="false">IF(U290&lt;&gt;"Closed","",(N(L290)*N(M290)+N(N290)*N(O290)+Y290*Q290)/G290)</f>
        <v/>
      </c>
      <c r="AC290" s="24" t="str">
        <f aca="false">IF(U290&lt;&gt;"Closed","",IF($B290="Short",-1,1)*((N(M290)-H290)*N(L290)+(N(O290)-H290)*N(N290)+(Q290-H290)*Y290)-N(R290))</f>
        <v/>
      </c>
      <c r="AD290" s="25" t="str">
        <f aca="false">IF(OR(AC290="",N(Z290)=0),"",AC290/Z290)</f>
        <v/>
      </c>
      <c r="AE290" s="25" t="str">
        <f aca="false">IF(OR(S290="",N(Z290)=0),"",IF($B290="Short",-1,1)*(S290-H290)*G290/Z290)</f>
        <v/>
      </c>
      <c r="AF290" s="25" t="str">
        <f aca="false">IF(OR(T290="",N(Z290)=0),"",IF($B290="Short",-1,1)*(T290-H290)*G290/Z290)</f>
        <v/>
      </c>
      <c r="AG290" s="21" t="str">
        <f aca="false">IF(U290&lt;&gt;"Open","",Y290*MAX(0,IF($B290="Short",-1,1)*(H290-IF(K290="",I290,K290))))</f>
        <v/>
      </c>
      <c r="AH290" s="26" t="str">
        <f aca="false">IF(U290&lt;&gt;"Closed","",DATE(YEAR(P290),MONTH(P290),1))</f>
        <v/>
      </c>
      <c r="AI290" s="19" t="str">
        <f aca="false">IF(U290&lt;&gt;"Closed","",COUNTIFS($U$7:$U$506,"Closed",$P$7:$P$506,"&lt;"&amp;P290)+COUNTIFS($U$7:U290,"Closed",$P$7:P290,P290))</f>
        <v/>
      </c>
    </row>
    <row r="291" customFormat="false" ht="15" hidden="false" customHeight="false" outlineLevel="0" collapsed="false">
      <c r="A291" s="13"/>
      <c r="B291" s="48"/>
      <c r="C291" s="48"/>
      <c r="D291" s="48"/>
      <c r="E291" s="15"/>
      <c r="F291" s="15"/>
      <c r="G291" s="16"/>
      <c r="H291" s="17"/>
      <c r="I291" s="17"/>
      <c r="J291" s="17"/>
      <c r="K291" s="17"/>
      <c r="L291" s="16"/>
      <c r="M291" s="17"/>
      <c r="N291" s="16"/>
      <c r="O291" s="17"/>
      <c r="P291" s="15"/>
      <c r="Q291" s="17"/>
      <c r="R291" s="17"/>
      <c r="S291" s="17"/>
      <c r="T291" s="17"/>
      <c r="U291" s="18" t="str">
        <f aca="false">IF(A291="","",IF(N(G291)-N(L291)-N(N291)&lt;0,"Check shares",IF(AND(P291&lt;&gt;"",Q291&lt;&gt;""),"Closed","Open")))</f>
        <v/>
      </c>
      <c r="V291" s="19" t="str">
        <f aca="false">IF(OR(F291="",P291=""),"",NETWORKDAYS(F291,P291,Lists!$F$5:$F$40)-1)</f>
        <v/>
      </c>
      <c r="W291" s="18" t="str">
        <f aca="false">IF(V291="","",IF(V291=0,"Same day","Overnight"))</f>
        <v/>
      </c>
      <c r="X291" s="18" t="str">
        <f aca="false">IF(OR(E291="",F291=""),"",IF(AND(E291&gt;=F291,OR(P291="",E291&lt;=P291)),"Yes","No"))</f>
        <v/>
      </c>
      <c r="Y291" s="20" t="str">
        <f aca="false">IF(A291="","",N(G291)-N(L291)-N(N291))</f>
        <v/>
      </c>
      <c r="Z291" s="21" t="str">
        <f aca="false">IF(OR(G291="",H291="",I291=""),"",ABS(H291-I291)*G291)</f>
        <v/>
      </c>
      <c r="AA291" s="22" t="str">
        <f aca="false">IF(OR(J291="",N(Z291)=0),"",ABS(J291-H291)/ABS(H291-I291))</f>
        <v/>
      </c>
      <c r="AB291" s="23" t="str">
        <f aca="false">IF(U291&lt;&gt;"Closed","",(N(L291)*N(M291)+N(N291)*N(O291)+Y291*Q291)/G291)</f>
        <v/>
      </c>
      <c r="AC291" s="24" t="str">
        <f aca="false">IF(U291&lt;&gt;"Closed","",IF($B291="Short",-1,1)*((N(M291)-H291)*N(L291)+(N(O291)-H291)*N(N291)+(Q291-H291)*Y291)-N(R291))</f>
        <v/>
      </c>
      <c r="AD291" s="25" t="str">
        <f aca="false">IF(OR(AC291="",N(Z291)=0),"",AC291/Z291)</f>
        <v/>
      </c>
      <c r="AE291" s="25" t="str">
        <f aca="false">IF(OR(S291="",N(Z291)=0),"",IF($B291="Short",-1,1)*(S291-H291)*G291/Z291)</f>
        <v/>
      </c>
      <c r="AF291" s="25" t="str">
        <f aca="false">IF(OR(T291="",N(Z291)=0),"",IF($B291="Short",-1,1)*(T291-H291)*G291/Z291)</f>
        <v/>
      </c>
      <c r="AG291" s="21" t="str">
        <f aca="false">IF(U291&lt;&gt;"Open","",Y291*MAX(0,IF($B291="Short",-1,1)*(H291-IF(K291="",I291,K291))))</f>
        <v/>
      </c>
      <c r="AH291" s="26" t="str">
        <f aca="false">IF(U291&lt;&gt;"Closed","",DATE(YEAR(P291),MONTH(P291),1))</f>
        <v/>
      </c>
      <c r="AI291" s="19" t="str">
        <f aca="false">IF(U291&lt;&gt;"Closed","",COUNTIFS($U$7:$U$506,"Closed",$P$7:$P$506,"&lt;"&amp;P291)+COUNTIFS($U$7:U291,"Closed",$P$7:P291,P291))</f>
        <v/>
      </c>
    </row>
    <row r="292" customFormat="false" ht="15" hidden="false" customHeight="false" outlineLevel="0" collapsed="false">
      <c r="A292" s="13"/>
      <c r="B292" s="48"/>
      <c r="C292" s="48"/>
      <c r="D292" s="48"/>
      <c r="E292" s="15"/>
      <c r="F292" s="15"/>
      <c r="G292" s="16"/>
      <c r="H292" s="17"/>
      <c r="I292" s="17"/>
      <c r="J292" s="17"/>
      <c r="K292" s="17"/>
      <c r="L292" s="16"/>
      <c r="M292" s="17"/>
      <c r="N292" s="16"/>
      <c r="O292" s="17"/>
      <c r="P292" s="15"/>
      <c r="Q292" s="17"/>
      <c r="R292" s="17"/>
      <c r="S292" s="17"/>
      <c r="T292" s="17"/>
      <c r="U292" s="18" t="str">
        <f aca="false">IF(A292="","",IF(N(G292)-N(L292)-N(N292)&lt;0,"Check shares",IF(AND(P292&lt;&gt;"",Q292&lt;&gt;""),"Closed","Open")))</f>
        <v/>
      </c>
      <c r="V292" s="19" t="str">
        <f aca="false">IF(OR(F292="",P292=""),"",NETWORKDAYS(F292,P292,Lists!$F$5:$F$40)-1)</f>
        <v/>
      </c>
      <c r="W292" s="18" t="str">
        <f aca="false">IF(V292="","",IF(V292=0,"Same day","Overnight"))</f>
        <v/>
      </c>
      <c r="X292" s="18" t="str">
        <f aca="false">IF(OR(E292="",F292=""),"",IF(AND(E292&gt;=F292,OR(P292="",E292&lt;=P292)),"Yes","No"))</f>
        <v/>
      </c>
      <c r="Y292" s="20" t="str">
        <f aca="false">IF(A292="","",N(G292)-N(L292)-N(N292))</f>
        <v/>
      </c>
      <c r="Z292" s="21" t="str">
        <f aca="false">IF(OR(G292="",H292="",I292=""),"",ABS(H292-I292)*G292)</f>
        <v/>
      </c>
      <c r="AA292" s="22" t="str">
        <f aca="false">IF(OR(J292="",N(Z292)=0),"",ABS(J292-H292)/ABS(H292-I292))</f>
        <v/>
      </c>
      <c r="AB292" s="23" t="str">
        <f aca="false">IF(U292&lt;&gt;"Closed","",(N(L292)*N(M292)+N(N292)*N(O292)+Y292*Q292)/G292)</f>
        <v/>
      </c>
      <c r="AC292" s="24" t="str">
        <f aca="false">IF(U292&lt;&gt;"Closed","",IF($B292="Short",-1,1)*((N(M292)-H292)*N(L292)+(N(O292)-H292)*N(N292)+(Q292-H292)*Y292)-N(R292))</f>
        <v/>
      </c>
      <c r="AD292" s="25" t="str">
        <f aca="false">IF(OR(AC292="",N(Z292)=0),"",AC292/Z292)</f>
        <v/>
      </c>
      <c r="AE292" s="25" t="str">
        <f aca="false">IF(OR(S292="",N(Z292)=0),"",IF($B292="Short",-1,1)*(S292-H292)*G292/Z292)</f>
        <v/>
      </c>
      <c r="AF292" s="25" t="str">
        <f aca="false">IF(OR(T292="",N(Z292)=0),"",IF($B292="Short",-1,1)*(T292-H292)*G292/Z292)</f>
        <v/>
      </c>
      <c r="AG292" s="21" t="str">
        <f aca="false">IF(U292&lt;&gt;"Open","",Y292*MAX(0,IF($B292="Short",-1,1)*(H292-IF(K292="",I292,K292))))</f>
        <v/>
      </c>
      <c r="AH292" s="26" t="str">
        <f aca="false">IF(U292&lt;&gt;"Closed","",DATE(YEAR(P292),MONTH(P292),1))</f>
        <v/>
      </c>
      <c r="AI292" s="19" t="str">
        <f aca="false">IF(U292&lt;&gt;"Closed","",COUNTIFS($U$7:$U$506,"Closed",$P$7:$P$506,"&lt;"&amp;P292)+COUNTIFS($U$7:U292,"Closed",$P$7:P292,P292))</f>
        <v/>
      </c>
    </row>
    <row r="293" customFormat="false" ht="15" hidden="false" customHeight="false" outlineLevel="0" collapsed="false">
      <c r="A293" s="13"/>
      <c r="B293" s="48"/>
      <c r="C293" s="48"/>
      <c r="D293" s="48"/>
      <c r="E293" s="15"/>
      <c r="F293" s="15"/>
      <c r="G293" s="16"/>
      <c r="H293" s="17"/>
      <c r="I293" s="17"/>
      <c r="J293" s="17"/>
      <c r="K293" s="17"/>
      <c r="L293" s="16"/>
      <c r="M293" s="17"/>
      <c r="N293" s="16"/>
      <c r="O293" s="17"/>
      <c r="P293" s="15"/>
      <c r="Q293" s="17"/>
      <c r="R293" s="17"/>
      <c r="S293" s="17"/>
      <c r="T293" s="17"/>
      <c r="U293" s="18" t="str">
        <f aca="false">IF(A293="","",IF(N(G293)-N(L293)-N(N293)&lt;0,"Check shares",IF(AND(P293&lt;&gt;"",Q293&lt;&gt;""),"Closed","Open")))</f>
        <v/>
      </c>
      <c r="V293" s="19" t="str">
        <f aca="false">IF(OR(F293="",P293=""),"",NETWORKDAYS(F293,P293,Lists!$F$5:$F$40)-1)</f>
        <v/>
      </c>
      <c r="W293" s="18" t="str">
        <f aca="false">IF(V293="","",IF(V293=0,"Same day","Overnight"))</f>
        <v/>
      </c>
      <c r="X293" s="18" t="str">
        <f aca="false">IF(OR(E293="",F293=""),"",IF(AND(E293&gt;=F293,OR(P293="",E293&lt;=P293)),"Yes","No"))</f>
        <v/>
      </c>
      <c r="Y293" s="20" t="str">
        <f aca="false">IF(A293="","",N(G293)-N(L293)-N(N293))</f>
        <v/>
      </c>
      <c r="Z293" s="21" t="str">
        <f aca="false">IF(OR(G293="",H293="",I293=""),"",ABS(H293-I293)*G293)</f>
        <v/>
      </c>
      <c r="AA293" s="22" t="str">
        <f aca="false">IF(OR(J293="",N(Z293)=0),"",ABS(J293-H293)/ABS(H293-I293))</f>
        <v/>
      </c>
      <c r="AB293" s="23" t="str">
        <f aca="false">IF(U293&lt;&gt;"Closed","",(N(L293)*N(M293)+N(N293)*N(O293)+Y293*Q293)/G293)</f>
        <v/>
      </c>
      <c r="AC293" s="24" t="str">
        <f aca="false">IF(U293&lt;&gt;"Closed","",IF($B293="Short",-1,1)*((N(M293)-H293)*N(L293)+(N(O293)-H293)*N(N293)+(Q293-H293)*Y293)-N(R293))</f>
        <v/>
      </c>
      <c r="AD293" s="25" t="str">
        <f aca="false">IF(OR(AC293="",N(Z293)=0),"",AC293/Z293)</f>
        <v/>
      </c>
      <c r="AE293" s="25" t="str">
        <f aca="false">IF(OR(S293="",N(Z293)=0),"",IF($B293="Short",-1,1)*(S293-H293)*G293/Z293)</f>
        <v/>
      </c>
      <c r="AF293" s="25" t="str">
        <f aca="false">IF(OR(T293="",N(Z293)=0),"",IF($B293="Short",-1,1)*(T293-H293)*G293/Z293)</f>
        <v/>
      </c>
      <c r="AG293" s="21" t="str">
        <f aca="false">IF(U293&lt;&gt;"Open","",Y293*MAX(0,IF($B293="Short",-1,1)*(H293-IF(K293="",I293,K293))))</f>
        <v/>
      </c>
      <c r="AH293" s="26" t="str">
        <f aca="false">IF(U293&lt;&gt;"Closed","",DATE(YEAR(P293),MONTH(P293),1))</f>
        <v/>
      </c>
      <c r="AI293" s="19" t="str">
        <f aca="false">IF(U293&lt;&gt;"Closed","",COUNTIFS($U$7:$U$506,"Closed",$P$7:$P$506,"&lt;"&amp;P293)+COUNTIFS($U$7:U293,"Closed",$P$7:P293,P293))</f>
        <v/>
      </c>
    </row>
    <row r="294" customFormat="false" ht="15" hidden="false" customHeight="false" outlineLevel="0" collapsed="false">
      <c r="A294" s="13"/>
      <c r="B294" s="48"/>
      <c r="C294" s="48"/>
      <c r="D294" s="48"/>
      <c r="E294" s="15"/>
      <c r="F294" s="15"/>
      <c r="G294" s="16"/>
      <c r="H294" s="17"/>
      <c r="I294" s="17"/>
      <c r="J294" s="17"/>
      <c r="K294" s="17"/>
      <c r="L294" s="16"/>
      <c r="M294" s="17"/>
      <c r="N294" s="16"/>
      <c r="O294" s="17"/>
      <c r="P294" s="15"/>
      <c r="Q294" s="17"/>
      <c r="R294" s="17"/>
      <c r="S294" s="17"/>
      <c r="T294" s="17"/>
      <c r="U294" s="18" t="str">
        <f aca="false">IF(A294="","",IF(N(G294)-N(L294)-N(N294)&lt;0,"Check shares",IF(AND(P294&lt;&gt;"",Q294&lt;&gt;""),"Closed","Open")))</f>
        <v/>
      </c>
      <c r="V294" s="19" t="str">
        <f aca="false">IF(OR(F294="",P294=""),"",NETWORKDAYS(F294,P294,Lists!$F$5:$F$40)-1)</f>
        <v/>
      </c>
      <c r="W294" s="18" t="str">
        <f aca="false">IF(V294="","",IF(V294=0,"Same day","Overnight"))</f>
        <v/>
      </c>
      <c r="X294" s="18" t="str">
        <f aca="false">IF(OR(E294="",F294=""),"",IF(AND(E294&gt;=F294,OR(P294="",E294&lt;=P294)),"Yes","No"))</f>
        <v/>
      </c>
      <c r="Y294" s="20" t="str">
        <f aca="false">IF(A294="","",N(G294)-N(L294)-N(N294))</f>
        <v/>
      </c>
      <c r="Z294" s="21" t="str">
        <f aca="false">IF(OR(G294="",H294="",I294=""),"",ABS(H294-I294)*G294)</f>
        <v/>
      </c>
      <c r="AA294" s="22" t="str">
        <f aca="false">IF(OR(J294="",N(Z294)=0),"",ABS(J294-H294)/ABS(H294-I294))</f>
        <v/>
      </c>
      <c r="AB294" s="23" t="str">
        <f aca="false">IF(U294&lt;&gt;"Closed","",(N(L294)*N(M294)+N(N294)*N(O294)+Y294*Q294)/G294)</f>
        <v/>
      </c>
      <c r="AC294" s="24" t="str">
        <f aca="false">IF(U294&lt;&gt;"Closed","",IF($B294="Short",-1,1)*((N(M294)-H294)*N(L294)+(N(O294)-H294)*N(N294)+(Q294-H294)*Y294)-N(R294))</f>
        <v/>
      </c>
      <c r="AD294" s="25" t="str">
        <f aca="false">IF(OR(AC294="",N(Z294)=0),"",AC294/Z294)</f>
        <v/>
      </c>
      <c r="AE294" s="25" t="str">
        <f aca="false">IF(OR(S294="",N(Z294)=0),"",IF($B294="Short",-1,1)*(S294-H294)*G294/Z294)</f>
        <v/>
      </c>
      <c r="AF294" s="25" t="str">
        <f aca="false">IF(OR(T294="",N(Z294)=0),"",IF($B294="Short",-1,1)*(T294-H294)*G294/Z294)</f>
        <v/>
      </c>
      <c r="AG294" s="21" t="str">
        <f aca="false">IF(U294&lt;&gt;"Open","",Y294*MAX(0,IF($B294="Short",-1,1)*(H294-IF(K294="",I294,K294))))</f>
        <v/>
      </c>
      <c r="AH294" s="26" t="str">
        <f aca="false">IF(U294&lt;&gt;"Closed","",DATE(YEAR(P294),MONTH(P294),1))</f>
        <v/>
      </c>
      <c r="AI294" s="19" t="str">
        <f aca="false">IF(U294&lt;&gt;"Closed","",COUNTIFS($U$7:$U$506,"Closed",$P$7:$P$506,"&lt;"&amp;P294)+COUNTIFS($U$7:U294,"Closed",$P$7:P294,P294))</f>
        <v/>
      </c>
    </row>
    <row r="295" customFormat="false" ht="15" hidden="false" customHeight="false" outlineLevel="0" collapsed="false">
      <c r="A295" s="13"/>
      <c r="B295" s="48"/>
      <c r="C295" s="48"/>
      <c r="D295" s="48"/>
      <c r="E295" s="15"/>
      <c r="F295" s="15"/>
      <c r="G295" s="16"/>
      <c r="H295" s="17"/>
      <c r="I295" s="17"/>
      <c r="J295" s="17"/>
      <c r="K295" s="17"/>
      <c r="L295" s="16"/>
      <c r="M295" s="17"/>
      <c r="N295" s="16"/>
      <c r="O295" s="17"/>
      <c r="P295" s="15"/>
      <c r="Q295" s="17"/>
      <c r="R295" s="17"/>
      <c r="S295" s="17"/>
      <c r="T295" s="17"/>
      <c r="U295" s="18" t="str">
        <f aca="false">IF(A295="","",IF(N(G295)-N(L295)-N(N295)&lt;0,"Check shares",IF(AND(P295&lt;&gt;"",Q295&lt;&gt;""),"Closed","Open")))</f>
        <v/>
      </c>
      <c r="V295" s="19" t="str">
        <f aca="false">IF(OR(F295="",P295=""),"",NETWORKDAYS(F295,P295,Lists!$F$5:$F$40)-1)</f>
        <v/>
      </c>
      <c r="W295" s="18" t="str">
        <f aca="false">IF(V295="","",IF(V295=0,"Same day","Overnight"))</f>
        <v/>
      </c>
      <c r="X295" s="18" t="str">
        <f aca="false">IF(OR(E295="",F295=""),"",IF(AND(E295&gt;=F295,OR(P295="",E295&lt;=P295)),"Yes","No"))</f>
        <v/>
      </c>
      <c r="Y295" s="20" t="str">
        <f aca="false">IF(A295="","",N(G295)-N(L295)-N(N295))</f>
        <v/>
      </c>
      <c r="Z295" s="21" t="str">
        <f aca="false">IF(OR(G295="",H295="",I295=""),"",ABS(H295-I295)*G295)</f>
        <v/>
      </c>
      <c r="AA295" s="22" t="str">
        <f aca="false">IF(OR(J295="",N(Z295)=0),"",ABS(J295-H295)/ABS(H295-I295))</f>
        <v/>
      </c>
      <c r="AB295" s="23" t="str">
        <f aca="false">IF(U295&lt;&gt;"Closed","",(N(L295)*N(M295)+N(N295)*N(O295)+Y295*Q295)/G295)</f>
        <v/>
      </c>
      <c r="AC295" s="24" t="str">
        <f aca="false">IF(U295&lt;&gt;"Closed","",IF($B295="Short",-1,1)*((N(M295)-H295)*N(L295)+(N(O295)-H295)*N(N295)+(Q295-H295)*Y295)-N(R295))</f>
        <v/>
      </c>
      <c r="AD295" s="25" t="str">
        <f aca="false">IF(OR(AC295="",N(Z295)=0),"",AC295/Z295)</f>
        <v/>
      </c>
      <c r="AE295" s="25" t="str">
        <f aca="false">IF(OR(S295="",N(Z295)=0),"",IF($B295="Short",-1,1)*(S295-H295)*G295/Z295)</f>
        <v/>
      </c>
      <c r="AF295" s="25" t="str">
        <f aca="false">IF(OR(T295="",N(Z295)=0),"",IF($B295="Short",-1,1)*(T295-H295)*G295/Z295)</f>
        <v/>
      </c>
      <c r="AG295" s="21" t="str">
        <f aca="false">IF(U295&lt;&gt;"Open","",Y295*MAX(0,IF($B295="Short",-1,1)*(H295-IF(K295="",I295,K295))))</f>
        <v/>
      </c>
      <c r="AH295" s="26" t="str">
        <f aca="false">IF(U295&lt;&gt;"Closed","",DATE(YEAR(P295),MONTH(P295),1))</f>
        <v/>
      </c>
      <c r="AI295" s="19" t="str">
        <f aca="false">IF(U295&lt;&gt;"Closed","",COUNTIFS($U$7:$U$506,"Closed",$P$7:$P$506,"&lt;"&amp;P295)+COUNTIFS($U$7:U295,"Closed",$P$7:P295,P295))</f>
        <v/>
      </c>
    </row>
    <row r="296" customFormat="false" ht="15" hidden="false" customHeight="false" outlineLevel="0" collapsed="false">
      <c r="A296" s="13"/>
      <c r="B296" s="48"/>
      <c r="C296" s="48"/>
      <c r="D296" s="48"/>
      <c r="E296" s="15"/>
      <c r="F296" s="15"/>
      <c r="G296" s="16"/>
      <c r="H296" s="17"/>
      <c r="I296" s="17"/>
      <c r="J296" s="17"/>
      <c r="K296" s="17"/>
      <c r="L296" s="16"/>
      <c r="M296" s="17"/>
      <c r="N296" s="16"/>
      <c r="O296" s="17"/>
      <c r="P296" s="15"/>
      <c r="Q296" s="17"/>
      <c r="R296" s="17"/>
      <c r="S296" s="17"/>
      <c r="T296" s="17"/>
      <c r="U296" s="18" t="str">
        <f aca="false">IF(A296="","",IF(N(G296)-N(L296)-N(N296)&lt;0,"Check shares",IF(AND(P296&lt;&gt;"",Q296&lt;&gt;""),"Closed","Open")))</f>
        <v/>
      </c>
      <c r="V296" s="19" t="str">
        <f aca="false">IF(OR(F296="",P296=""),"",NETWORKDAYS(F296,P296,Lists!$F$5:$F$40)-1)</f>
        <v/>
      </c>
      <c r="W296" s="18" t="str">
        <f aca="false">IF(V296="","",IF(V296=0,"Same day","Overnight"))</f>
        <v/>
      </c>
      <c r="X296" s="18" t="str">
        <f aca="false">IF(OR(E296="",F296=""),"",IF(AND(E296&gt;=F296,OR(P296="",E296&lt;=P296)),"Yes","No"))</f>
        <v/>
      </c>
      <c r="Y296" s="20" t="str">
        <f aca="false">IF(A296="","",N(G296)-N(L296)-N(N296))</f>
        <v/>
      </c>
      <c r="Z296" s="21" t="str">
        <f aca="false">IF(OR(G296="",H296="",I296=""),"",ABS(H296-I296)*G296)</f>
        <v/>
      </c>
      <c r="AA296" s="22" t="str">
        <f aca="false">IF(OR(J296="",N(Z296)=0),"",ABS(J296-H296)/ABS(H296-I296))</f>
        <v/>
      </c>
      <c r="AB296" s="23" t="str">
        <f aca="false">IF(U296&lt;&gt;"Closed","",(N(L296)*N(M296)+N(N296)*N(O296)+Y296*Q296)/G296)</f>
        <v/>
      </c>
      <c r="AC296" s="24" t="str">
        <f aca="false">IF(U296&lt;&gt;"Closed","",IF($B296="Short",-1,1)*((N(M296)-H296)*N(L296)+(N(O296)-H296)*N(N296)+(Q296-H296)*Y296)-N(R296))</f>
        <v/>
      </c>
      <c r="AD296" s="25" t="str">
        <f aca="false">IF(OR(AC296="",N(Z296)=0),"",AC296/Z296)</f>
        <v/>
      </c>
      <c r="AE296" s="25" t="str">
        <f aca="false">IF(OR(S296="",N(Z296)=0),"",IF($B296="Short",-1,1)*(S296-H296)*G296/Z296)</f>
        <v/>
      </c>
      <c r="AF296" s="25" t="str">
        <f aca="false">IF(OR(T296="",N(Z296)=0),"",IF($B296="Short",-1,1)*(T296-H296)*G296/Z296)</f>
        <v/>
      </c>
      <c r="AG296" s="21" t="str">
        <f aca="false">IF(U296&lt;&gt;"Open","",Y296*MAX(0,IF($B296="Short",-1,1)*(H296-IF(K296="",I296,K296))))</f>
        <v/>
      </c>
      <c r="AH296" s="26" t="str">
        <f aca="false">IF(U296&lt;&gt;"Closed","",DATE(YEAR(P296),MONTH(P296),1))</f>
        <v/>
      </c>
      <c r="AI296" s="19" t="str">
        <f aca="false">IF(U296&lt;&gt;"Closed","",COUNTIFS($U$7:$U$506,"Closed",$P$7:$P$506,"&lt;"&amp;P296)+COUNTIFS($U$7:U296,"Closed",$P$7:P296,P296))</f>
        <v/>
      </c>
    </row>
    <row r="297" customFormat="false" ht="15" hidden="false" customHeight="false" outlineLevel="0" collapsed="false">
      <c r="A297" s="13"/>
      <c r="B297" s="48"/>
      <c r="C297" s="48"/>
      <c r="D297" s="48"/>
      <c r="E297" s="15"/>
      <c r="F297" s="15"/>
      <c r="G297" s="16"/>
      <c r="H297" s="17"/>
      <c r="I297" s="17"/>
      <c r="J297" s="17"/>
      <c r="K297" s="17"/>
      <c r="L297" s="16"/>
      <c r="M297" s="17"/>
      <c r="N297" s="16"/>
      <c r="O297" s="17"/>
      <c r="P297" s="15"/>
      <c r="Q297" s="17"/>
      <c r="R297" s="17"/>
      <c r="S297" s="17"/>
      <c r="T297" s="17"/>
      <c r="U297" s="18" t="str">
        <f aca="false">IF(A297="","",IF(N(G297)-N(L297)-N(N297)&lt;0,"Check shares",IF(AND(P297&lt;&gt;"",Q297&lt;&gt;""),"Closed","Open")))</f>
        <v/>
      </c>
      <c r="V297" s="19" t="str">
        <f aca="false">IF(OR(F297="",P297=""),"",NETWORKDAYS(F297,P297,Lists!$F$5:$F$40)-1)</f>
        <v/>
      </c>
      <c r="W297" s="18" t="str">
        <f aca="false">IF(V297="","",IF(V297=0,"Same day","Overnight"))</f>
        <v/>
      </c>
      <c r="X297" s="18" t="str">
        <f aca="false">IF(OR(E297="",F297=""),"",IF(AND(E297&gt;=F297,OR(P297="",E297&lt;=P297)),"Yes","No"))</f>
        <v/>
      </c>
      <c r="Y297" s="20" t="str">
        <f aca="false">IF(A297="","",N(G297)-N(L297)-N(N297))</f>
        <v/>
      </c>
      <c r="Z297" s="21" t="str">
        <f aca="false">IF(OR(G297="",H297="",I297=""),"",ABS(H297-I297)*G297)</f>
        <v/>
      </c>
      <c r="AA297" s="22" t="str">
        <f aca="false">IF(OR(J297="",N(Z297)=0),"",ABS(J297-H297)/ABS(H297-I297))</f>
        <v/>
      </c>
      <c r="AB297" s="23" t="str">
        <f aca="false">IF(U297&lt;&gt;"Closed","",(N(L297)*N(M297)+N(N297)*N(O297)+Y297*Q297)/G297)</f>
        <v/>
      </c>
      <c r="AC297" s="24" t="str">
        <f aca="false">IF(U297&lt;&gt;"Closed","",IF($B297="Short",-1,1)*((N(M297)-H297)*N(L297)+(N(O297)-H297)*N(N297)+(Q297-H297)*Y297)-N(R297))</f>
        <v/>
      </c>
      <c r="AD297" s="25" t="str">
        <f aca="false">IF(OR(AC297="",N(Z297)=0),"",AC297/Z297)</f>
        <v/>
      </c>
      <c r="AE297" s="25" t="str">
        <f aca="false">IF(OR(S297="",N(Z297)=0),"",IF($B297="Short",-1,1)*(S297-H297)*G297/Z297)</f>
        <v/>
      </c>
      <c r="AF297" s="25" t="str">
        <f aca="false">IF(OR(T297="",N(Z297)=0),"",IF($B297="Short",-1,1)*(T297-H297)*G297/Z297)</f>
        <v/>
      </c>
      <c r="AG297" s="21" t="str">
        <f aca="false">IF(U297&lt;&gt;"Open","",Y297*MAX(0,IF($B297="Short",-1,1)*(H297-IF(K297="",I297,K297))))</f>
        <v/>
      </c>
      <c r="AH297" s="26" t="str">
        <f aca="false">IF(U297&lt;&gt;"Closed","",DATE(YEAR(P297),MONTH(P297),1))</f>
        <v/>
      </c>
      <c r="AI297" s="19" t="str">
        <f aca="false">IF(U297&lt;&gt;"Closed","",COUNTIFS($U$7:$U$506,"Closed",$P$7:$P$506,"&lt;"&amp;P297)+COUNTIFS($U$7:U297,"Closed",$P$7:P297,P297))</f>
        <v/>
      </c>
    </row>
    <row r="298" customFormat="false" ht="15" hidden="false" customHeight="false" outlineLevel="0" collapsed="false">
      <c r="A298" s="13"/>
      <c r="B298" s="48"/>
      <c r="C298" s="48"/>
      <c r="D298" s="48"/>
      <c r="E298" s="15"/>
      <c r="F298" s="15"/>
      <c r="G298" s="16"/>
      <c r="H298" s="17"/>
      <c r="I298" s="17"/>
      <c r="J298" s="17"/>
      <c r="K298" s="17"/>
      <c r="L298" s="16"/>
      <c r="M298" s="17"/>
      <c r="N298" s="16"/>
      <c r="O298" s="17"/>
      <c r="P298" s="15"/>
      <c r="Q298" s="17"/>
      <c r="R298" s="17"/>
      <c r="S298" s="17"/>
      <c r="T298" s="17"/>
      <c r="U298" s="18" t="str">
        <f aca="false">IF(A298="","",IF(N(G298)-N(L298)-N(N298)&lt;0,"Check shares",IF(AND(P298&lt;&gt;"",Q298&lt;&gt;""),"Closed","Open")))</f>
        <v/>
      </c>
      <c r="V298" s="19" t="str">
        <f aca="false">IF(OR(F298="",P298=""),"",NETWORKDAYS(F298,P298,Lists!$F$5:$F$40)-1)</f>
        <v/>
      </c>
      <c r="W298" s="18" t="str">
        <f aca="false">IF(V298="","",IF(V298=0,"Same day","Overnight"))</f>
        <v/>
      </c>
      <c r="X298" s="18" t="str">
        <f aca="false">IF(OR(E298="",F298=""),"",IF(AND(E298&gt;=F298,OR(P298="",E298&lt;=P298)),"Yes","No"))</f>
        <v/>
      </c>
      <c r="Y298" s="20" t="str">
        <f aca="false">IF(A298="","",N(G298)-N(L298)-N(N298))</f>
        <v/>
      </c>
      <c r="Z298" s="21" t="str">
        <f aca="false">IF(OR(G298="",H298="",I298=""),"",ABS(H298-I298)*G298)</f>
        <v/>
      </c>
      <c r="AA298" s="22" t="str">
        <f aca="false">IF(OR(J298="",N(Z298)=0),"",ABS(J298-H298)/ABS(H298-I298))</f>
        <v/>
      </c>
      <c r="AB298" s="23" t="str">
        <f aca="false">IF(U298&lt;&gt;"Closed","",(N(L298)*N(M298)+N(N298)*N(O298)+Y298*Q298)/G298)</f>
        <v/>
      </c>
      <c r="AC298" s="24" t="str">
        <f aca="false">IF(U298&lt;&gt;"Closed","",IF($B298="Short",-1,1)*((N(M298)-H298)*N(L298)+(N(O298)-H298)*N(N298)+(Q298-H298)*Y298)-N(R298))</f>
        <v/>
      </c>
      <c r="AD298" s="25" t="str">
        <f aca="false">IF(OR(AC298="",N(Z298)=0),"",AC298/Z298)</f>
        <v/>
      </c>
      <c r="AE298" s="25" t="str">
        <f aca="false">IF(OR(S298="",N(Z298)=0),"",IF($B298="Short",-1,1)*(S298-H298)*G298/Z298)</f>
        <v/>
      </c>
      <c r="AF298" s="25" t="str">
        <f aca="false">IF(OR(T298="",N(Z298)=0),"",IF($B298="Short",-1,1)*(T298-H298)*G298/Z298)</f>
        <v/>
      </c>
      <c r="AG298" s="21" t="str">
        <f aca="false">IF(U298&lt;&gt;"Open","",Y298*MAX(0,IF($B298="Short",-1,1)*(H298-IF(K298="",I298,K298))))</f>
        <v/>
      </c>
      <c r="AH298" s="26" t="str">
        <f aca="false">IF(U298&lt;&gt;"Closed","",DATE(YEAR(P298),MONTH(P298),1))</f>
        <v/>
      </c>
      <c r="AI298" s="19" t="str">
        <f aca="false">IF(U298&lt;&gt;"Closed","",COUNTIFS($U$7:$U$506,"Closed",$P$7:$P$506,"&lt;"&amp;P298)+COUNTIFS($U$7:U298,"Closed",$P$7:P298,P298))</f>
        <v/>
      </c>
    </row>
    <row r="299" customFormat="false" ht="15" hidden="false" customHeight="false" outlineLevel="0" collapsed="false">
      <c r="A299" s="13"/>
      <c r="B299" s="48"/>
      <c r="C299" s="48"/>
      <c r="D299" s="48"/>
      <c r="E299" s="15"/>
      <c r="F299" s="15"/>
      <c r="G299" s="16"/>
      <c r="H299" s="17"/>
      <c r="I299" s="17"/>
      <c r="J299" s="17"/>
      <c r="K299" s="17"/>
      <c r="L299" s="16"/>
      <c r="M299" s="17"/>
      <c r="N299" s="16"/>
      <c r="O299" s="17"/>
      <c r="P299" s="15"/>
      <c r="Q299" s="17"/>
      <c r="R299" s="17"/>
      <c r="S299" s="17"/>
      <c r="T299" s="17"/>
      <c r="U299" s="18" t="str">
        <f aca="false">IF(A299="","",IF(N(G299)-N(L299)-N(N299)&lt;0,"Check shares",IF(AND(P299&lt;&gt;"",Q299&lt;&gt;""),"Closed","Open")))</f>
        <v/>
      </c>
      <c r="V299" s="19" t="str">
        <f aca="false">IF(OR(F299="",P299=""),"",NETWORKDAYS(F299,P299,Lists!$F$5:$F$40)-1)</f>
        <v/>
      </c>
      <c r="W299" s="18" t="str">
        <f aca="false">IF(V299="","",IF(V299=0,"Same day","Overnight"))</f>
        <v/>
      </c>
      <c r="X299" s="18" t="str">
        <f aca="false">IF(OR(E299="",F299=""),"",IF(AND(E299&gt;=F299,OR(P299="",E299&lt;=P299)),"Yes","No"))</f>
        <v/>
      </c>
      <c r="Y299" s="20" t="str">
        <f aca="false">IF(A299="","",N(G299)-N(L299)-N(N299))</f>
        <v/>
      </c>
      <c r="Z299" s="21" t="str">
        <f aca="false">IF(OR(G299="",H299="",I299=""),"",ABS(H299-I299)*G299)</f>
        <v/>
      </c>
      <c r="AA299" s="22" t="str">
        <f aca="false">IF(OR(J299="",N(Z299)=0),"",ABS(J299-H299)/ABS(H299-I299))</f>
        <v/>
      </c>
      <c r="AB299" s="23" t="str">
        <f aca="false">IF(U299&lt;&gt;"Closed","",(N(L299)*N(M299)+N(N299)*N(O299)+Y299*Q299)/G299)</f>
        <v/>
      </c>
      <c r="AC299" s="24" t="str">
        <f aca="false">IF(U299&lt;&gt;"Closed","",IF($B299="Short",-1,1)*((N(M299)-H299)*N(L299)+(N(O299)-H299)*N(N299)+(Q299-H299)*Y299)-N(R299))</f>
        <v/>
      </c>
      <c r="AD299" s="25" t="str">
        <f aca="false">IF(OR(AC299="",N(Z299)=0),"",AC299/Z299)</f>
        <v/>
      </c>
      <c r="AE299" s="25" t="str">
        <f aca="false">IF(OR(S299="",N(Z299)=0),"",IF($B299="Short",-1,1)*(S299-H299)*G299/Z299)</f>
        <v/>
      </c>
      <c r="AF299" s="25" t="str">
        <f aca="false">IF(OR(T299="",N(Z299)=0),"",IF($B299="Short",-1,1)*(T299-H299)*G299/Z299)</f>
        <v/>
      </c>
      <c r="AG299" s="21" t="str">
        <f aca="false">IF(U299&lt;&gt;"Open","",Y299*MAX(0,IF($B299="Short",-1,1)*(H299-IF(K299="",I299,K299))))</f>
        <v/>
      </c>
      <c r="AH299" s="26" t="str">
        <f aca="false">IF(U299&lt;&gt;"Closed","",DATE(YEAR(P299),MONTH(P299),1))</f>
        <v/>
      </c>
      <c r="AI299" s="19" t="str">
        <f aca="false">IF(U299&lt;&gt;"Closed","",COUNTIFS($U$7:$U$506,"Closed",$P$7:$P$506,"&lt;"&amp;P299)+COUNTIFS($U$7:U299,"Closed",$P$7:P299,P299))</f>
        <v/>
      </c>
    </row>
    <row r="300" customFormat="false" ht="15" hidden="false" customHeight="false" outlineLevel="0" collapsed="false">
      <c r="A300" s="13"/>
      <c r="B300" s="48"/>
      <c r="C300" s="48"/>
      <c r="D300" s="48"/>
      <c r="E300" s="15"/>
      <c r="F300" s="15"/>
      <c r="G300" s="16"/>
      <c r="H300" s="17"/>
      <c r="I300" s="17"/>
      <c r="J300" s="17"/>
      <c r="K300" s="17"/>
      <c r="L300" s="16"/>
      <c r="M300" s="17"/>
      <c r="N300" s="16"/>
      <c r="O300" s="17"/>
      <c r="P300" s="15"/>
      <c r="Q300" s="17"/>
      <c r="R300" s="17"/>
      <c r="S300" s="17"/>
      <c r="T300" s="17"/>
      <c r="U300" s="18" t="str">
        <f aca="false">IF(A300="","",IF(N(G300)-N(L300)-N(N300)&lt;0,"Check shares",IF(AND(P300&lt;&gt;"",Q300&lt;&gt;""),"Closed","Open")))</f>
        <v/>
      </c>
      <c r="V300" s="19" t="str">
        <f aca="false">IF(OR(F300="",P300=""),"",NETWORKDAYS(F300,P300,Lists!$F$5:$F$40)-1)</f>
        <v/>
      </c>
      <c r="W300" s="18" t="str">
        <f aca="false">IF(V300="","",IF(V300=0,"Same day","Overnight"))</f>
        <v/>
      </c>
      <c r="X300" s="18" t="str">
        <f aca="false">IF(OR(E300="",F300=""),"",IF(AND(E300&gt;=F300,OR(P300="",E300&lt;=P300)),"Yes","No"))</f>
        <v/>
      </c>
      <c r="Y300" s="20" t="str">
        <f aca="false">IF(A300="","",N(G300)-N(L300)-N(N300))</f>
        <v/>
      </c>
      <c r="Z300" s="21" t="str">
        <f aca="false">IF(OR(G300="",H300="",I300=""),"",ABS(H300-I300)*G300)</f>
        <v/>
      </c>
      <c r="AA300" s="22" t="str">
        <f aca="false">IF(OR(J300="",N(Z300)=0),"",ABS(J300-H300)/ABS(H300-I300))</f>
        <v/>
      </c>
      <c r="AB300" s="23" t="str">
        <f aca="false">IF(U300&lt;&gt;"Closed","",(N(L300)*N(M300)+N(N300)*N(O300)+Y300*Q300)/G300)</f>
        <v/>
      </c>
      <c r="AC300" s="24" t="str">
        <f aca="false">IF(U300&lt;&gt;"Closed","",IF($B300="Short",-1,1)*((N(M300)-H300)*N(L300)+(N(O300)-H300)*N(N300)+(Q300-H300)*Y300)-N(R300))</f>
        <v/>
      </c>
      <c r="AD300" s="25" t="str">
        <f aca="false">IF(OR(AC300="",N(Z300)=0),"",AC300/Z300)</f>
        <v/>
      </c>
      <c r="AE300" s="25" t="str">
        <f aca="false">IF(OR(S300="",N(Z300)=0),"",IF($B300="Short",-1,1)*(S300-H300)*G300/Z300)</f>
        <v/>
      </c>
      <c r="AF300" s="25" t="str">
        <f aca="false">IF(OR(T300="",N(Z300)=0),"",IF($B300="Short",-1,1)*(T300-H300)*G300/Z300)</f>
        <v/>
      </c>
      <c r="AG300" s="21" t="str">
        <f aca="false">IF(U300&lt;&gt;"Open","",Y300*MAX(0,IF($B300="Short",-1,1)*(H300-IF(K300="",I300,K300))))</f>
        <v/>
      </c>
      <c r="AH300" s="26" t="str">
        <f aca="false">IF(U300&lt;&gt;"Closed","",DATE(YEAR(P300),MONTH(P300),1))</f>
        <v/>
      </c>
      <c r="AI300" s="19" t="str">
        <f aca="false">IF(U300&lt;&gt;"Closed","",COUNTIFS($U$7:$U$506,"Closed",$P$7:$P$506,"&lt;"&amp;P300)+COUNTIFS($U$7:U300,"Closed",$P$7:P300,P300))</f>
        <v/>
      </c>
    </row>
    <row r="301" customFormat="false" ht="15" hidden="false" customHeight="false" outlineLevel="0" collapsed="false">
      <c r="A301" s="13"/>
      <c r="B301" s="48"/>
      <c r="C301" s="48"/>
      <c r="D301" s="48"/>
      <c r="E301" s="15"/>
      <c r="F301" s="15"/>
      <c r="G301" s="16"/>
      <c r="H301" s="17"/>
      <c r="I301" s="17"/>
      <c r="J301" s="17"/>
      <c r="K301" s="17"/>
      <c r="L301" s="16"/>
      <c r="M301" s="17"/>
      <c r="N301" s="16"/>
      <c r="O301" s="17"/>
      <c r="P301" s="15"/>
      <c r="Q301" s="17"/>
      <c r="R301" s="17"/>
      <c r="S301" s="17"/>
      <c r="T301" s="17"/>
      <c r="U301" s="18" t="str">
        <f aca="false">IF(A301="","",IF(N(G301)-N(L301)-N(N301)&lt;0,"Check shares",IF(AND(P301&lt;&gt;"",Q301&lt;&gt;""),"Closed","Open")))</f>
        <v/>
      </c>
      <c r="V301" s="19" t="str">
        <f aca="false">IF(OR(F301="",P301=""),"",NETWORKDAYS(F301,P301,Lists!$F$5:$F$40)-1)</f>
        <v/>
      </c>
      <c r="W301" s="18" t="str">
        <f aca="false">IF(V301="","",IF(V301=0,"Same day","Overnight"))</f>
        <v/>
      </c>
      <c r="X301" s="18" t="str">
        <f aca="false">IF(OR(E301="",F301=""),"",IF(AND(E301&gt;=F301,OR(P301="",E301&lt;=P301)),"Yes","No"))</f>
        <v/>
      </c>
      <c r="Y301" s="20" t="str">
        <f aca="false">IF(A301="","",N(G301)-N(L301)-N(N301))</f>
        <v/>
      </c>
      <c r="Z301" s="21" t="str">
        <f aca="false">IF(OR(G301="",H301="",I301=""),"",ABS(H301-I301)*G301)</f>
        <v/>
      </c>
      <c r="AA301" s="22" t="str">
        <f aca="false">IF(OR(J301="",N(Z301)=0),"",ABS(J301-H301)/ABS(H301-I301))</f>
        <v/>
      </c>
      <c r="AB301" s="23" t="str">
        <f aca="false">IF(U301&lt;&gt;"Closed","",(N(L301)*N(M301)+N(N301)*N(O301)+Y301*Q301)/G301)</f>
        <v/>
      </c>
      <c r="AC301" s="24" t="str">
        <f aca="false">IF(U301&lt;&gt;"Closed","",IF($B301="Short",-1,1)*((N(M301)-H301)*N(L301)+(N(O301)-H301)*N(N301)+(Q301-H301)*Y301)-N(R301))</f>
        <v/>
      </c>
      <c r="AD301" s="25" t="str">
        <f aca="false">IF(OR(AC301="",N(Z301)=0),"",AC301/Z301)</f>
        <v/>
      </c>
      <c r="AE301" s="25" t="str">
        <f aca="false">IF(OR(S301="",N(Z301)=0),"",IF($B301="Short",-1,1)*(S301-H301)*G301/Z301)</f>
        <v/>
      </c>
      <c r="AF301" s="25" t="str">
        <f aca="false">IF(OR(T301="",N(Z301)=0),"",IF($B301="Short",-1,1)*(T301-H301)*G301/Z301)</f>
        <v/>
      </c>
      <c r="AG301" s="21" t="str">
        <f aca="false">IF(U301&lt;&gt;"Open","",Y301*MAX(0,IF($B301="Short",-1,1)*(H301-IF(K301="",I301,K301))))</f>
        <v/>
      </c>
      <c r="AH301" s="26" t="str">
        <f aca="false">IF(U301&lt;&gt;"Closed","",DATE(YEAR(P301),MONTH(P301),1))</f>
        <v/>
      </c>
      <c r="AI301" s="19" t="str">
        <f aca="false">IF(U301&lt;&gt;"Closed","",COUNTIFS($U$7:$U$506,"Closed",$P$7:$P$506,"&lt;"&amp;P301)+COUNTIFS($U$7:U301,"Closed",$P$7:P301,P301))</f>
        <v/>
      </c>
    </row>
    <row r="302" customFormat="false" ht="15" hidden="false" customHeight="false" outlineLevel="0" collapsed="false">
      <c r="A302" s="13"/>
      <c r="B302" s="48"/>
      <c r="C302" s="48"/>
      <c r="D302" s="48"/>
      <c r="E302" s="15"/>
      <c r="F302" s="15"/>
      <c r="G302" s="16"/>
      <c r="H302" s="17"/>
      <c r="I302" s="17"/>
      <c r="J302" s="17"/>
      <c r="K302" s="17"/>
      <c r="L302" s="16"/>
      <c r="M302" s="17"/>
      <c r="N302" s="16"/>
      <c r="O302" s="17"/>
      <c r="P302" s="15"/>
      <c r="Q302" s="17"/>
      <c r="R302" s="17"/>
      <c r="S302" s="17"/>
      <c r="T302" s="17"/>
      <c r="U302" s="18" t="str">
        <f aca="false">IF(A302="","",IF(N(G302)-N(L302)-N(N302)&lt;0,"Check shares",IF(AND(P302&lt;&gt;"",Q302&lt;&gt;""),"Closed","Open")))</f>
        <v/>
      </c>
      <c r="V302" s="19" t="str">
        <f aca="false">IF(OR(F302="",P302=""),"",NETWORKDAYS(F302,P302,Lists!$F$5:$F$40)-1)</f>
        <v/>
      </c>
      <c r="W302" s="18" t="str">
        <f aca="false">IF(V302="","",IF(V302=0,"Same day","Overnight"))</f>
        <v/>
      </c>
      <c r="X302" s="18" t="str">
        <f aca="false">IF(OR(E302="",F302=""),"",IF(AND(E302&gt;=F302,OR(P302="",E302&lt;=P302)),"Yes","No"))</f>
        <v/>
      </c>
      <c r="Y302" s="20" t="str">
        <f aca="false">IF(A302="","",N(G302)-N(L302)-N(N302))</f>
        <v/>
      </c>
      <c r="Z302" s="21" t="str">
        <f aca="false">IF(OR(G302="",H302="",I302=""),"",ABS(H302-I302)*G302)</f>
        <v/>
      </c>
      <c r="AA302" s="22" t="str">
        <f aca="false">IF(OR(J302="",N(Z302)=0),"",ABS(J302-H302)/ABS(H302-I302))</f>
        <v/>
      </c>
      <c r="AB302" s="23" t="str">
        <f aca="false">IF(U302&lt;&gt;"Closed","",(N(L302)*N(M302)+N(N302)*N(O302)+Y302*Q302)/G302)</f>
        <v/>
      </c>
      <c r="AC302" s="24" t="str">
        <f aca="false">IF(U302&lt;&gt;"Closed","",IF($B302="Short",-1,1)*((N(M302)-H302)*N(L302)+(N(O302)-H302)*N(N302)+(Q302-H302)*Y302)-N(R302))</f>
        <v/>
      </c>
      <c r="AD302" s="25" t="str">
        <f aca="false">IF(OR(AC302="",N(Z302)=0),"",AC302/Z302)</f>
        <v/>
      </c>
      <c r="AE302" s="25" t="str">
        <f aca="false">IF(OR(S302="",N(Z302)=0),"",IF($B302="Short",-1,1)*(S302-H302)*G302/Z302)</f>
        <v/>
      </c>
      <c r="AF302" s="25" t="str">
        <f aca="false">IF(OR(T302="",N(Z302)=0),"",IF($B302="Short",-1,1)*(T302-H302)*G302/Z302)</f>
        <v/>
      </c>
      <c r="AG302" s="21" t="str">
        <f aca="false">IF(U302&lt;&gt;"Open","",Y302*MAX(0,IF($B302="Short",-1,1)*(H302-IF(K302="",I302,K302))))</f>
        <v/>
      </c>
      <c r="AH302" s="26" t="str">
        <f aca="false">IF(U302&lt;&gt;"Closed","",DATE(YEAR(P302),MONTH(P302),1))</f>
        <v/>
      </c>
      <c r="AI302" s="19" t="str">
        <f aca="false">IF(U302&lt;&gt;"Closed","",COUNTIFS($U$7:$U$506,"Closed",$P$7:$P$506,"&lt;"&amp;P302)+COUNTIFS($U$7:U302,"Closed",$P$7:P302,P302))</f>
        <v/>
      </c>
    </row>
    <row r="303" customFormat="false" ht="15" hidden="false" customHeight="false" outlineLevel="0" collapsed="false">
      <c r="A303" s="13"/>
      <c r="B303" s="48"/>
      <c r="C303" s="48"/>
      <c r="D303" s="48"/>
      <c r="E303" s="15"/>
      <c r="F303" s="15"/>
      <c r="G303" s="16"/>
      <c r="H303" s="17"/>
      <c r="I303" s="17"/>
      <c r="J303" s="17"/>
      <c r="K303" s="17"/>
      <c r="L303" s="16"/>
      <c r="M303" s="17"/>
      <c r="N303" s="16"/>
      <c r="O303" s="17"/>
      <c r="P303" s="15"/>
      <c r="Q303" s="17"/>
      <c r="R303" s="17"/>
      <c r="S303" s="17"/>
      <c r="T303" s="17"/>
      <c r="U303" s="18" t="str">
        <f aca="false">IF(A303="","",IF(N(G303)-N(L303)-N(N303)&lt;0,"Check shares",IF(AND(P303&lt;&gt;"",Q303&lt;&gt;""),"Closed","Open")))</f>
        <v/>
      </c>
      <c r="V303" s="19" t="str">
        <f aca="false">IF(OR(F303="",P303=""),"",NETWORKDAYS(F303,P303,Lists!$F$5:$F$40)-1)</f>
        <v/>
      </c>
      <c r="W303" s="18" t="str">
        <f aca="false">IF(V303="","",IF(V303=0,"Same day","Overnight"))</f>
        <v/>
      </c>
      <c r="X303" s="18" t="str">
        <f aca="false">IF(OR(E303="",F303=""),"",IF(AND(E303&gt;=F303,OR(P303="",E303&lt;=P303)),"Yes","No"))</f>
        <v/>
      </c>
      <c r="Y303" s="20" t="str">
        <f aca="false">IF(A303="","",N(G303)-N(L303)-N(N303))</f>
        <v/>
      </c>
      <c r="Z303" s="21" t="str">
        <f aca="false">IF(OR(G303="",H303="",I303=""),"",ABS(H303-I303)*G303)</f>
        <v/>
      </c>
      <c r="AA303" s="22" t="str">
        <f aca="false">IF(OR(J303="",N(Z303)=0),"",ABS(J303-H303)/ABS(H303-I303))</f>
        <v/>
      </c>
      <c r="AB303" s="23" t="str">
        <f aca="false">IF(U303&lt;&gt;"Closed","",(N(L303)*N(M303)+N(N303)*N(O303)+Y303*Q303)/G303)</f>
        <v/>
      </c>
      <c r="AC303" s="24" t="str">
        <f aca="false">IF(U303&lt;&gt;"Closed","",IF($B303="Short",-1,1)*((N(M303)-H303)*N(L303)+(N(O303)-H303)*N(N303)+(Q303-H303)*Y303)-N(R303))</f>
        <v/>
      </c>
      <c r="AD303" s="25" t="str">
        <f aca="false">IF(OR(AC303="",N(Z303)=0),"",AC303/Z303)</f>
        <v/>
      </c>
      <c r="AE303" s="25" t="str">
        <f aca="false">IF(OR(S303="",N(Z303)=0),"",IF($B303="Short",-1,1)*(S303-H303)*G303/Z303)</f>
        <v/>
      </c>
      <c r="AF303" s="25" t="str">
        <f aca="false">IF(OR(T303="",N(Z303)=0),"",IF($B303="Short",-1,1)*(T303-H303)*G303/Z303)</f>
        <v/>
      </c>
      <c r="AG303" s="21" t="str">
        <f aca="false">IF(U303&lt;&gt;"Open","",Y303*MAX(0,IF($B303="Short",-1,1)*(H303-IF(K303="",I303,K303))))</f>
        <v/>
      </c>
      <c r="AH303" s="26" t="str">
        <f aca="false">IF(U303&lt;&gt;"Closed","",DATE(YEAR(P303),MONTH(P303),1))</f>
        <v/>
      </c>
      <c r="AI303" s="19" t="str">
        <f aca="false">IF(U303&lt;&gt;"Closed","",COUNTIFS($U$7:$U$506,"Closed",$P$7:$P$506,"&lt;"&amp;P303)+COUNTIFS($U$7:U303,"Closed",$P$7:P303,P303))</f>
        <v/>
      </c>
    </row>
    <row r="304" customFormat="false" ht="15" hidden="false" customHeight="false" outlineLevel="0" collapsed="false">
      <c r="A304" s="13"/>
      <c r="B304" s="48"/>
      <c r="C304" s="48"/>
      <c r="D304" s="48"/>
      <c r="E304" s="15"/>
      <c r="F304" s="15"/>
      <c r="G304" s="16"/>
      <c r="H304" s="17"/>
      <c r="I304" s="17"/>
      <c r="J304" s="17"/>
      <c r="K304" s="17"/>
      <c r="L304" s="16"/>
      <c r="M304" s="17"/>
      <c r="N304" s="16"/>
      <c r="O304" s="17"/>
      <c r="P304" s="15"/>
      <c r="Q304" s="17"/>
      <c r="R304" s="17"/>
      <c r="S304" s="17"/>
      <c r="T304" s="17"/>
      <c r="U304" s="18" t="str">
        <f aca="false">IF(A304="","",IF(N(G304)-N(L304)-N(N304)&lt;0,"Check shares",IF(AND(P304&lt;&gt;"",Q304&lt;&gt;""),"Closed","Open")))</f>
        <v/>
      </c>
      <c r="V304" s="19" t="str">
        <f aca="false">IF(OR(F304="",P304=""),"",NETWORKDAYS(F304,P304,Lists!$F$5:$F$40)-1)</f>
        <v/>
      </c>
      <c r="W304" s="18" t="str">
        <f aca="false">IF(V304="","",IF(V304=0,"Same day","Overnight"))</f>
        <v/>
      </c>
      <c r="X304" s="18" t="str">
        <f aca="false">IF(OR(E304="",F304=""),"",IF(AND(E304&gt;=F304,OR(P304="",E304&lt;=P304)),"Yes","No"))</f>
        <v/>
      </c>
      <c r="Y304" s="20" t="str">
        <f aca="false">IF(A304="","",N(G304)-N(L304)-N(N304))</f>
        <v/>
      </c>
      <c r="Z304" s="21" t="str">
        <f aca="false">IF(OR(G304="",H304="",I304=""),"",ABS(H304-I304)*G304)</f>
        <v/>
      </c>
      <c r="AA304" s="22" t="str">
        <f aca="false">IF(OR(J304="",N(Z304)=0),"",ABS(J304-H304)/ABS(H304-I304))</f>
        <v/>
      </c>
      <c r="AB304" s="23" t="str">
        <f aca="false">IF(U304&lt;&gt;"Closed","",(N(L304)*N(M304)+N(N304)*N(O304)+Y304*Q304)/G304)</f>
        <v/>
      </c>
      <c r="AC304" s="24" t="str">
        <f aca="false">IF(U304&lt;&gt;"Closed","",IF($B304="Short",-1,1)*((N(M304)-H304)*N(L304)+(N(O304)-H304)*N(N304)+(Q304-H304)*Y304)-N(R304))</f>
        <v/>
      </c>
      <c r="AD304" s="25" t="str">
        <f aca="false">IF(OR(AC304="",N(Z304)=0),"",AC304/Z304)</f>
        <v/>
      </c>
      <c r="AE304" s="25" t="str">
        <f aca="false">IF(OR(S304="",N(Z304)=0),"",IF($B304="Short",-1,1)*(S304-H304)*G304/Z304)</f>
        <v/>
      </c>
      <c r="AF304" s="25" t="str">
        <f aca="false">IF(OR(T304="",N(Z304)=0),"",IF($B304="Short",-1,1)*(T304-H304)*G304/Z304)</f>
        <v/>
      </c>
      <c r="AG304" s="21" t="str">
        <f aca="false">IF(U304&lt;&gt;"Open","",Y304*MAX(0,IF($B304="Short",-1,1)*(H304-IF(K304="",I304,K304))))</f>
        <v/>
      </c>
      <c r="AH304" s="26" t="str">
        <f aca="false">IF(U304&lt;&gt;"Closed","",DATE(YEAR(P304),MONTH(P304),1))</f>
        <v/>
      </c>
      <c r="AI304" s="19" t="str">
        <f aca="false">IF(U304&lt;&gt;"Closed","",COUNTIFS($U$7:$U$506,"Closed",$P$7:$P$506,"&lt;"&amp;P304)+COUNTIFS($U$7:U304,"Closed",$P$7:P304,P304))</f>
        <v/>
      </c>
    </row>
    <row r="305" customFormat="false" ht="15" hidden="false" customHeight="false" outlineLevel="0" collapsed="false">
      <c r="A305" s="13"/>
      <c r="B305" s="48"/>
      <c r="C305" s="48"/>
      <c r="D305" s="48"/>
      <c r="E305" s="15"/>
      <c r="F305" s="15"/>
      <c r="G305" s="16"/>
      <c r="H305" s="17"/>
      <c r="I305" s="17"/>
      <c r="J305" s="17"/>
      <c r="K305" s="17"/>
      <c r="L305" s="16"/>
      <c r="M305" s="17"/>
      <c r="N305" s="16"/>
      <c r="O305" s="17"/>
      <c r="P305" s="15"/>
      <c r="Q305" s="17"/>
      <c r="R305" s="17"/>
      <c r="S305" s="17"/>
      <c r="T305" s="17"/>
      <c r="U305" s="18" t="str">
        <f aca="false">IF(A305="","",IF(N(G305)-N(L305)-N(N305)&lt;0,"Check shares",IF(AND(P305&lt;&gt;"",Q305&lt;&gt;""),"Closed","Open")))</f>
        <v/>
      </c>
      <c r="V305" s="19" t="str">
        <f aca="false">IF(OR(F305="",P305=""),"",NETWORKDAYS(F305,P305,Lists!$F$5:$F$40)-1)</f>
        <v/>
      </c>
      <c r="W305" s="18" t="str">
        <f aca="false">IF(V305="","",IF(V305=0,"Same day","Overnight"))</f>
        <v/>
      </c>
      <c r="X305" s="18" t="str">
        <f aca="false">IF(OR(E305="",F305=""),"",IF(AND(E305&gt;=F305,OR(P305="",E305&lt;=P305)),"Yes","No"))</f>
        <v/>
      </c>
      <c r="Y305" s="20" t="str">
        <f aca="false">IF(A305="","",N(G305)-N(L305)-N(N305))</f>
        <v/>
      </c>
      <c r="Z305" s="21" t="str">
        <f aca="false">IF(OR(G305="",H305="",I305=""),"",ABS(H305-I305)*G305)</f>
        <v/>
      </c>
      <c r="AA305" s="22" t="str">
        <f aca="false">IF(OR(J305="",N(Z305)=0),"",ABS(J305-H305)/ABS(H305-I305))</f>
        <v/>
      </c>
      <c r="AB305" s="23" t="str">
        <f aca="false">IF(U305&lt;&gt;"Closed","",(N(L305)*N(M305)+N(N305)*N(O305)+Y305*Q305)/G305)</f>
        <v/>
      </c>
      <c r="AC305" s="24" t="str">
        <f aca="false">IF(U305&lt;&gt;"Closed","",IF($B305="Short",-1,1)*((N(M305)-H305)*N(L305)+(N(O305)-H305)*N(N305)+(Q305-H305)*Y305)-N(R305))</f>
        <v/>
      </c>
      <c r="AD305" s="25" t="str">
        <f aca="false">IF(OR(AC305="",N(Z305)=0),"",AC305/Z305)</f>
        <v/>
      </c>
      <c r="AE305" s="25" t="str">
        <f aca="false">IF(OR(S305="",N(Z305)=0),"",IF($B305="Short",-1,1)*(S305-H305)*G305/Z305)</f>
        <v/>
      </c>
      <c r="AF305" s="25" t="str">
        <f aca="false">IF(OR(T305="",N(Z305)=0),"",IF($B305="Short",-1,1)*(T305-H305)*G305/Z305)</f>
        <v/>
      </c>
      <c r="AG305" s="21" t="str">
        <f aca="false">IF(U305&lt;&gt;"Open","",Y305*MAX(0,IF($B305="Short",-1,1)*(H305-IF(K305="",I305,K305))))</f>
        <v/>
      </c>
      <c r="AH305" s="26" t="str">
        <f aca="false">IF(U305&lt;&gt;"Closed","",DATE(YEAR(P305),MONTH(P305),1))</f>
        <v/>
      </c>
      <c r="AI305" s="19" t="str">
        <f aca="false">IF(U305&lt;&gt;"Closed","",COUNTIFS($U$7:$U$506,"Closed",$P$7:$P$506,"&lt;"&amp;P305)+COUNTIFS($U$7:U305,"Closed",$P$7:P305,P305))</f>
        <v/>
      </c>
    </row>
    <row r="306" customFormat="false" ht="15" hidden="false" customHeight="false" outlineLevel="0" collapsed="false">
      <c r="A306" s="13"/>
      <c r="B306" s="48"/>
      <c r="C306" s="48"/>
      <c r="D306" s="48"/>
      <c r="E306" s="15"/>
      <c r="F306" s="15"/>
      <c r="G306" s="16"/>
      <c r="H306" s="17"/>
      <c r="I306" s="17"/>
      <c r="J306" s="17"/>
      <c r="K306" s="17"/>
      <c r="L306" s="16"/>
      <c r="M306" s="17"/>
      <c r="N306" s="16"/>
      <c r="O306" s="17"/>
      <c r="P306" s="15"/>
      <c r="Q306" s="17"/>
      <c r="R306" s="17"/>
      <c r="S306" s="17"/>
      <c r="T306" s="17"/>
      <c r="U306" s="18" t="str">
        <f aca="false">IF(A306="","",IF(N(G306)-N(L306)-N(N306)&lt;0,"Check shares",IF(AND(P306&lt;&gt;"",Q306&lt;&gt;""),"Closed","Open")))</f>
        <v/>
      </c>
      <c r="V306" s="19" t="str">
        <f aca="false">IF(OR(F306="",P306=""),"",NETWORKDAYS(F306,P306,Lists!$F$5:$F$40)-1)</f>
        <v/>
      </c>
      <c r="W306" s="18" t="str">
        <f aca="false">IF(V306="","",IF(V306=0,"Same day","Overnight"))</f>
        <v/>
      </c>
      <c r="X306" s="18" t="str">
        <f aca="false">IF(OR(E306="",F306=""),"",IF(AND(E306&gt;=F306,OR(P306="",E306&lt;=P306)),"Yes","No"))</f>
        <v/>
      </c>
      <c r="Y306" s="20" t="str">
        <f aca="false">IF(A306="","",N(G306)-N(L306)-N(N306))</f>
        <v/>
      </c>
      <c r="Z306" s="21" t="str">
        <f aca="false">IF(OR(G306="",H306="",I306=""),"",ABS(H306-I306)*G306)</f>
        <v/>
      </c>
      <c r="AA306" s="22" t="str">
        <f aca="false">IF(OR(J306="",N(Z306)=0),"",ABS(J306-H306)/ABS(H306-I306))</f>
        <v/>
      </c>
      <c r="AB306" s="23" t="str">
        <f aca="false">IF(U306&lt;&gt;"Closed","",(N(L306)*N(M306)+N(N306)*N(O306)+Y306*Q306)/G306)</f>
        <v/>
      </c>
      <c r="AC306" s="24" t="str">
        <f aca="false">IF(U306&lt;&gt;"Closed","",IF($B306="Short",-1,1)*((N(M306)-H306)*N(L306)+(N(O306)-H306)*N(N306)+(Q306-H306)*Y306)-N(R306))</f>
        <v/>
      </c>
      <c r="AD306" s="25" t="str">
        <f aca="false">IF(OR(AC306="",N(Z306)=0),"",AC306/Z306)</f>
        <v/>
      </c>
      <c r="AE306" s="25" t="str">
        <f aca="false">IF(OR(S306="",N(Z306)=0),"",IF($B306="Short",-1,1)*(S306-H306)*G306/Z306)</f>
        <v/>
      </c>
      <c r="AF306" s="25" t="str">
        <f aca="false">IF(OR(T306="",N(Z306)=0),"",IF($B306="Short",-1,1)*(T306-H306)*G306/Z306)</f>
        <v/>
      </c>
      <c r="AG306" s="21" t="str">
        <f aca="false">IF(U306&lt;&gt;"Open","",Y306*MAX(0,IF($B306="Short",-1,1)*(H306-IF(K306="",I306,K306))))</f>
        <v/>
      </c>
      <c r="AH306" s="26" t="str">
        <f aca="false">IF(U306&lt;&gt;"Closed","",DATE(YEAR(P306),MONTH(P306),1))</f>
        <v/>
      </c>
      <c r="AI306" s="19" t="str">
        <f aca="false">IF(U306&lt;&gt;"Closed","",COUNTIFS($U$7:$U$506,"Closed",$P$7:$P$506,"&lt;"&amp;P306)+COUNTIFS($U$7:U306,"Closed",$P$7:P306,P306))</f>
        <v/>
      </c>
    </row>
    <row r="307" customFormat="false" ht="15" hidden="false" customHeight="false" outlineLevel="0" collapsed="false">
      <c r="A307" s="13"/>
      <c r="B307" s="48"/>
      <c r="C307" s="48"/>
      <c r="D307" s="48"/>
      <c r="E307" s="15"/>
      <c r="F307" s="15"/>
      <c r="G307" s="16"/>
      <c r="H307" s="17"/>
      <c r="I307" s="17"/>
      <c r="J307" s="17"/>
      <c r="K307" s="17"/>
      <c r="L307" s="16"/>
      <c r="M307" s="17"/>
      <c r="N307" s="16"/>
      <c r="O307" s="17"/>
      <c r="P307" s="15"/>
      <c r="Q307" s="17"/>
      <c r="R307" s="17"/>
      <c r="S307" s="17"/>
      <c r="T307" s="17"/>
      <c r="U307" s="18" t="str">
        <f aca="false">IF(A307="","",IF(N(G307)-N(L307)-N(N307)&lt;0,"Check shares",IF(AND(P307&lt;&gt;"",Q307&lt;&gt;""),"Closed","Open")))</f>
        <v/>
      </c>
      <c r="V307" s="19" t="str">
        <f aca="false">IF(OR(F307="",P307=""),"",NETWORKDAYS(F307,P307,Lists!$F$5:$F$40)-1)</f>
        <v/>
      </c>
      <c r="W307" s="18" t="str">
        <f aca="false">IF(V307="","",IF(V307=0,"Same day","Overnight"))</f>
        <v/>
      </c>
      <c r="X307" s="18" t="str">
        <f aca="false">IF(OR(E307="",F307=""),"",IF(AND(E307&gt;=F307,OR(P307="",E307&lt;=P307)),"Yes","No"))</f>
        <v/>
      </c>
      <c r="Y307" s="20" t="str">
        <f aca="false">IF(A307="","",N(G307)-N(L307)-N(N307))</f>
        <v/>
      </c>
      <c r="Z307" s="21" t="str">
        <f aca="false">IF(OR(G307="",H307="",I307=""),"",ABS(H307-I307)*G307)</f>
        <v/>
      </c>
      <c r="AA307" s="22" t="str">
        <f aca="false">IF(OR(J307="",N(Z307)=0),"",ABS(J307-H307)/ABS(H307-I307))</f>
        <v/>
      </c>
      <c r="AB307" s="23" t="str">
        <f aca="false">IF(U307&lt;&gt;"Closed","",(N(L307)*N(M307)+N(N307)*N(O307)+Y307*Q307)/G307)</f>
        <v/>
      </c>
      <c r="AC307" s="24" t="str">
        <f aca="false">IF(U307&lt;&gt;"Closed","",IF($B307="Short",-1,1)*((N(M307)-H307)*N(L307)+(N(O307)-H307)*N(N307)+(Q307-H307)*Y307)-N(R307))</f>
        <v/>
      </c>
      <c r="AD307" s="25" t="str">
        <f aca="false">IF(OR(AC307="",N(Z307)=0),"",AC307/Z307)</f>
        <v/>
      </c>
      <c r="AE307" s="25" t="str">
        <f aca="false">IF(OR(S307="",N(Z307)=0),"",IF($B307="Short",-1,1)*(S307-H307)*G307/Z307)</f>
        <v/>
      </c>
      <c r="AF307" s="25" t="str">
        <f aca="false">IF(OR(T307="",N(Z307)=0),"",IF($B307="Short",-1,1)*(T307-H307)*G307/Z307)</f>
        <v/>
      </c>
      <c r="AG307" s="21" t="str">
        <f aca="false">IF(U307&lt;&gt;"Open","",Y307*MAX(0,IF($B307="Short",-1,1)*(H307-IF(K307="",I307,K307))))</f>
        <v/>
      </c>
      <c r="AH307" s="26" t="str">
        <f aca="false">IF(U307&lt;&gt;"Closed","",DATE(YEAR(P307),MONTH(P307),1))</f>
        <v/>
      </c>
      <c r="AI307" s="19" t="str">
        <f aca="false">IF(U307&lt;&gt;"Closed","",COUNTIFS($U$7:$U$506,"Closed",$P$7:$P$506,"&lt;"&amp;P307)+COUNTIFS($U$7:U307,"Closed",$P$7:P307,P307))</f>
        <v/>
      </c>
    </row>
    <row r="308" customFormat="false" ht="15" hidden="false" customHeight="false" outlineLevel="0" collapsed="false">
      <c r="A308" s="13"/>
      <c r="B308" s="48"/>
      <c r="C308" s="48"/>
      <c r="D308" s="48"/>
      <c r="E308" s="15"/>
      <c r="F308" s="15"/>
      <c r="G308" s="16"/>
      <c r="H308" s="17"/>
      <c r="I308" s="17"/>
      <c r="J308" s="17"/>
      <c r="K308" s="17"/>
      <c r="L308" s="16"/>
      <c r="M308" s="17"/>
      <c r="N308" s="16"/>
      <c r="O308" s="17"/>
      <c r="P308" s="15"/>
      <c r="Q308" s="17"/>
      <c r="R308" s="17"/>
      <c r="S308" s="17"/>
      <c r="T308" s="17"/>
      <c r="U308" s="18" t="str">
        <f aca="false">IF(A308="","",IF(N(G308)-N(L308)-N(N308)&lt;0,"Check shares",IF(AND(P308&lt;&gt;"",Q308&lt;&gt;""),"Closed","Open")))</f>
        <v/>
      </c>
      <c r="V308" s="19" t="str">
        <f aca="false">IF(OR(F308="",P308=""),"",NETWORKDAYS(F308,P308,Lists!$F$5:$F$40)-1)</f>
        <v/>
      </c>
      <c r="W308" s="18" t="str">
        <f aca="false">IF(V308="","",IF(V308=0,"Same day","Overnight"))</f>
        <v/>
      </c>
      <c r="X308" s="18" t="str">
        <f aca="false">IF(OR(E308="",F308=""),"",IF(AND(E308&gt;=F308,OR(P308="",E308&lt;=P308)),"Yes","No"))</f>
        <v/>
      </c>
      <c r="Y308" s="20" t="str">
        <f aca="false">IF(A308="","",N(G308)-N(L308)-N(N308))</f>
        <v/>
      </c>
      <c r="Z308" s="21" t="str">
        <f aca="false">IF(OR(G308="",H308="",I308=""),"",ABS(H308-I308)*G308)</f>
        <v/>
      </c>
      <c r="AA308" s="22" t="str">
        <f aca="false">IF(OR(J308="",N(Z308)=0),"",ABS(J308-H308)/ABS(H308-I308))</f>
        <v/>
      </c>
      <c r="AB308" s="23" t="str">
        <f aca="false">IF(U308&lt;&gt;"Closed","",(N(L308)*N(M308)+N(N308)*N(O308)+Y308*Q308)/G308)</f>
        <v/>
      </c>
      <c r="AC308" s="24" t="str">
        <f aca="false">IF(U308&lt;&gt;"Closed","",IF($B308="Short",-1,1)*((N(M308)-H308)*N(L308)+(N(O308)-H308)*N(N308)+(Q308-H308)*Y308)-N(R308))</f>
        <v/>
      </c>
      <c r="AD308" s="25" t="str">
        <f aca="false">IF(OR(AC308="",N(Z308)=0),"",AC308/Z308)</f>
        <v/>
      </c>
      <c r="AE308" s="25" t="str">
        <f aca="false">IF(OR(S308="",N(Z308)=0),"",IF($B308="Short",-1,1)*(S308-H308)*G308/Z308)</f>
        <v/>
      </c>
      <c r="AF308" s="25" t="str">
        <f aca="false">IF(OR(T308="",N(Z308)=0),"",IF($B308="Short",-1,1)*(T308-H308)*G308/Z308)</f>
        <v/>
      </c>
      <c r="AG308" s="21" t="str">
        <f aca="false">IF(U308&lt;&gt;"Open","",Y308*MAX(0,IF($B308="Short",-1,1)*(H308-IF(K308="",I308,K308))))</f>
        <v/>
      </c>
      <c r="AH308" s="26" t="str">
        <f aca="false">IF(U308&lt;&gt;"Closed","",DATE(YEAR(P308),MONTH(P308),1))</f>
        <v/>
      </c>
      <c r="AI308" s="19" t="str">
        <f aca="false">IF(U308&lt;&gt;"Closed","",COUNTIFS($U$7:$U$506,"Closed",$P$7:$P$506,"&lt;"&amp;P308)+COUNTIFS($U$7:U308,"Closed",$P$7:P308,P308))</f>
        <v/>
      </c>
    </row>
    <row r="309" customFormat="false" ht="15" hidden="false" customHeight="false" outlineLevel="0" collapsed="false">
      <c r="A309" s="13"/>
      <c r="B309" s="48"/>
      <c r="C309" s="48"/>
      <c r="D309" s="48"/>
      <c r="E309" s="15"/>
      <c r="F309" s="15"/>
      <c r="G309" s="16"/>
      <c r="H309" s="17"/>
      <c r="I309" s="17"/>
      <c r="J309" s="17"/>
      <c r="K309" s="17"/>
      <c r="L309" s="16"/>
      <c r="M309" s="17"/>
      <c r="N309" s="16"/>
      <c r="O309" s="17"/>
      <c r="P309" s="15"/>
      <c r="Q309" s="17"/>
      <c r="R309" s="17"/>
      <c r="S309" s="17"/>
      <c r="T309" s="17"/>
      <c r="U309" s="18" t="str">
        <f aca="false">IF(A309="","",IF(N(G309)-N(L309)-N(N309)&lt;0,"Check shares",IF(AND(P309&lt;&gt;"",Q309&lt;&gt;""),"Closed","Open")))</f>
        <v/>
      </c>
      <c r="V309" s="19" t="str">
        <f aca="false">IF(OR(F309="",P309=""),"",NETWORKDAYS(F309,P309,Lists!$F$5:$F$40)-1)</f>
        <v/>
      </c>
      <c r="W309" s="18" t="str">
        <f aca="false">IF(V309="","",IF(V309=0,"Same day","Overnight"))</f>
        <v/>
      </c>
      <c r="X309" s="18" t="str">
        <f aca="false">IF(OR(E309="",F309=""),"",IF(AND(E309&gt;=F309,OR(P309="",E309&lt;=P309)),"Yes","No"))</f>
        <v/>
      </c>
      <c r="Y309" s="20" t="str">
        <f aca="false">IF(A309="","",N(G309)-N(L309)-N(N309))</f>
        <v/>
      </c>
      <c r="Z309" s="21" t="str">
        <f aca="false">IF(OR(G309="",H309="",I309=""),"",ABS(H309-I309)*G309)</f>
        <v/>
      </c>
      <c r="AA309" s="22" t="str">
        <f aca="false">IF(OR(J309="",N(Z309)=0),"",ABS(J309-H309)/ABS(H309-I309))</f>
        <v/>
      </c>
      <c r="AB309" s="23" t="str">
        <f aca="false">IF(U309&lt;&gt;"Closed","",(N(L309)*N(M309)+N(N309)*N(O309)+Y309*Q309)/G309)</f>
        <v/>
      </c>
      <c r="AC309" s="24" t="str">
        <f aca="false">IF(U309&lt;&gt;"Closed","",IF($B309="Short",-1,1)*((N(M309)-H309)*N(L309)+(N(O309)-H309)*N(N309)+(Q309-H309)*Y309)-N(R309))</f>
        <v/>
      </c>
      <c r="AD309" s="25" t="str">
        <f aca="false">IF(OR(AC309="",N(Z309)=0),"",AC309/Z309)</f>
        <v/>
      </c>
      <c r="AE309" s="25" t="str">
        <f aca="false">IF(OR(S309="",N(Z309)=0),"",IF($B309="Short",-1,1)*(S309-H309)*G309/Z309)</f>
        <v/>
      </c>
      <c r="AF309" s="25" t="str">
        <f aca="false">IF(OR(T309="",N(Z309)=0),"",IF($B309="Short",-1,1)*(T309-H309)*G309/Z309)</f>
        <v/>
      </c>
      <c r="AG309" s="21" t="str">
        <f aca="false">IF(U309&lt;&gt;"Open","",Y309*MAX(0,IF($B309="Short",-1,1)*(H309-IF(K309="",I309,K309))))</f>
        <v/>
      </c>
      <c r="AH309" s="26" t="str">
        <f aca="false">IF(U309&lt;&gt;"Closed","",DATE(YEAR(P309),MONTH(P309),1))</f>
        <v/>
      </c>
      <c r="AI309" s="19" t="str">
        <f aca="false">IF(U309&lt;&gt;"Closed","",COUNTIFS($U$7:$U$506,"Closed",$P$7:$P$506,"&lt;"&amp;P309)+COUNTIFS($U$7:U309,"Closed",$P$7:P309,P309))</f>
        <v/>
      </c>
    </row>
    <row r="310" customFormat="false" ht="15" hidden="false" customHeight="false" outlineLevel="0" collapsed="false">
      <c r="A310" s="13"/>
      <c r="B310" s="48"/>
      <c r="C310" s="48"/>
      <c r="D310" s="48"/>
      <c r="E310" s="15"/>
      <c r="F310" s="15"/>
      <c r="G310" s="16"/>
      <c r="H310" s="17"/>
      <c r="I310" s="17"/>
      <c r="J310" s="17"/>
      <c r="K310" s="17"/>
      <c r="L310" s="16"/>
      <c r="M310" s="17"/>
      <c r="N310" s="16"/>
      <c r="O310" s="17"/>
      <c r="P310" s="15"/>
      <c r="Q310" s="17"/>
      <c r="R310" s="17"/>
      <c r="S310" s="17"/>
      <c r="T310" s="17"/>
      <c r="U310" s="18" t="str">
        <f aca="false">IF(A310="","",IF(N(G310)-N(L310)-N(N310)&lt;0,"Check shares",IF(AND(P310&lt;&gt;"",Q310&lt;&gt;""),"Closed","Open")))</f>
        <v/>
      </c>
      <c r="V310" s="19" t="str">
        <f aca="false">IF(OR(F310="",P310=""),"",NETWORKDAYS(F310,P310,Lists!$F$5:$F$40)-1)</f>
        <v/>
      </c>
      <c r="W310" s="18" t="str">
        <f aca="false">IF(V310="","",IF(V310=0,"Same day","Overnight"))</f>
        <v/>
      </c>
      <c r="X310" s="18" t="str">
        <f aca="false">IF(OR(E310="",F310=""),"",IF(AND(E310&gt;=F310,OR(P310="",E310&lt;=P310)),"Yes","No"))</f>
        <v/>
      </c>
      <c r="Y310" s="20" t="str">
        <f aca="false">IF(A310="","",N(G310)-N(L310)-N(N310))</f>
        <v/>
      </c>
      <c r="Z310" s="21" t="str">
        <f aca="false">IF(OR(G310="",H310="",I310=""),"",ABS(H310-I310)*G310)</f>
        <v/>
      </c>
      <c r="AA310" s="22" t="str">
        <f aca="false">IF(OR(J310="",N(Z310)=0),"",ABS(J310-H310)/ABS(H310-I310))</f>
        <v/>
      </c>
      <c r="AB310" s="23" t="str">
        <f aca="false">IF(U310&lt;&gt;"Closed","",(N(L310)*N(M310)+N(N310)*N(O310)+Y310*Q310)/G310)</f>
        <v/>
      </c>
      <c r="AC310" s="24" t="str">
        <f aca="false">IF(U310&lt;&gt;"Closed","",IF($B310="Short",-1,1)*((N(M310)-H310)*N(L310)+(N(O310)-H310)*N(N310)+(Q310-H310)*Y310)-N(R310))</f>
        <v/>
      </c>
      <c r="AD310" s="25" t="str">
        <f aca="false">IF(OR(AC310="",N(Z310)=0),"",AC310/Z310)</f>
        <v/>
      </c>
      <c r="AE310" s="25" t="str">
        <f aca="false">IF(OR(S310="",N(Z310)=0),"",IF($B310="Short",-1,1)*(S310-H310)*G310/Z310)</f>
        <v/>
      </c>
      <c r="AF310" s="25" t="str">
        <f aca="false">IF(OR(T310="",N(Z310)=0),"",IF($B310="Short",-1,1)*(T310-H310)*G310/Z310)</f>
        <v/>
      </c>
      <c r="AG310" s="21" t="str">
        <f aca="false">IF(U310&lt;&gt;"Open","",Y310*MAX(0,IF($B310="Short",-1,1)*(H310-IF(K310="",I310,K310))))</f>
        <v/>
      </c>
      <c r="AH310" s="26" t="str">
        <f aca="false">IF(U310&lt;&gt;"Closed","",DATE(YEAR(P310),MONTH(P310),1))</f>
        <v/>
      </c>
      <c r="AI310" s="19" t="str">
        <f aca="false">IF(U310&lt;&gt;"Closed","",COUNTIFS($U$7:$U$506,"Closed",$P$7:$P$506,"&lt;"&amp;P310)+COUNTIFS($U$7:U310,"Closed",$P$7:P310,P310))</f>
        <v/>
      </c>
    </row>
    <row r="311" customFormat="false" ht="15" hidden="false" customHeight="false" outlineLevel="0" collapsed="false">
      <c r="A311" s="13"/>
      <c r="B311" s="48"/>
      <c r="C311" s="48"/>
      <c r="D311" s="48"/>
      <c r="E311" s="15"/>
      <c r="F311" s="15"/>
      <c r="G311" s="16"/>
      <c r="H311" s="17"/>
      <c r="I311" s="17"/>
      <c r="J311" s="17"/>
      <c r="K311" s="17"/>
      <c r="L311" s="16"/>
      <c r="M311" s="17"/>
      <c r="N311" s="16"/>
      <c r="O311" s="17"/>
      <c r="P311" s="15"/>
      <c r="Q311" s="17"/>
      <c r="R311" s="17"/>
      <c r="S311" s="17"/>
      <c r="T311" s="17"/>
      <c r="U311" s="18" t="str">
        <f aca="false">IF(A311="","",IF(N(G311)-N(L311)-N(N311)&lt;0,"Check shares",IF(AND(P311&lt;&gt;"",Q311&lt;&gt;""),"Closed","Open")))</f>
        <v/>
      </c>
      <c r="V311" s="19" t="str">
        <f aca="false">IF(OR(F311="",P311=""),"",NETWORKDAYS(F311,P311,Lists!$F$5:$F$40)-1)</f>
        <v/>
      </c>
      <c r="W311" s="18" t="str">
        <f aca="false">IF(V311="","",IF(V311=0,"Same day","Overnight"))</f>
        <v/>
      </c>
      <c r="X311" s="18" t="str">
        <f aca="false">IF(OR(E311="",F311=""),"",IF(AND(E311&gt;=F311,OR(P311="",E311&lt;=P311)),"Yes","No"))</f>
        <v/>
      </c>
      <c r="Y311" s="20" t="str">
        <f aca="false">IF(A311="","",N(G311)-N(L311)-N(N311))</f>
        <v/>
      </c>
      <c r="Z311" s="21" t="str">
        <f aca="false">IF(OR(G311="",H311="",I311=""),"",ABS(H311-I311)*G311)</f>
        <v/>
      </c>
      <c r="AA311" s="22" t="str">
        <f aca="false">IF(OR(J311="",N(Z311)=0),"",ABS(J311-H311)/ABS(H311-I311))</f>
        <v/>
      </c>
      <c r="AB311" s="23" t="str">
        <f aca="false">IF(U311&lt;&gt;"Closed","",(N(L311)*N(M311)+N(N311)*N(O311)+Y311*Q311)/G311)</f>
        <v/>
      </c>
      <c r="AC311" s="24" t="str">
        <f aca="false">IF(U311&lt;&gt;"Closed","",IF($B311="Short",-1,1)*((N(M311)-H311)*N(L311)+(N(O311)-H311)*N(N311)+(Q311-H311)*Y311)-N(R311))</f>
        <v/>
      </c>
      <c r="AD311" s="25" t="str">
        <f aca="false">IF(OR(AC311="",N(Z311)=0),"",AC311/Z311)</f>
        <v/>
      </c>
      <c r="AE311" s="25" t="str">
        <f aca="false">IF(OR(S311="",N(Z311)=0),"",IF($B311="Short",-1,1)*(S311-H311)*G311/Z311)</f>
        <v/>
      </c>
      <c r="AF311" s="25" t="str">
        <f aca="false">IF(OR(T311="",N(Z311)=0),"",IF($B311="Short",-1,1)*(T311-H311)*G311/Z311)</f>
        <v/>
      </c>
      <c r="AG311" s="21" t="str">
        <f aca="false">IF(U311&lt;&gt;"Open","",Y311*MAX(0,IF($B311="Short",-1,1)*(H311-IF(K311="",I311,K311))))</f>
        <v/>
      </c>
      <c r="AH311" s="26" t="str">
        <f aca="false">IF(U311&lt;&gt;"Closed","",DATE(YEAR(P311),MONTH(P311),1))</f>
        <v/>
      </c>
      <c r="AI311" s="19" t="str">
        <f aca="false">IF(U311&lt;&gt;"Closed","",COUNTIFS($U$7:$U$506,"Closed",$P$7:$P$506,"&lt;"&amp;P311)+COUNTIFS($U$7:U311,"Closed",$P$7:P311,P311))</f>
        <v/>
      </c>
    </row>
    <row r="312" customFormat="false" ht="15" hidden="false" customHeight="false" outlineLevel="0" collapsed="false">
      <c r="A312" s="13"/>
      <c r="B312" s="48"/>
      <c r="C312" s="48"/>
      <c r="D312" s="48"/>
      <c r="E312" s="15"/>
      <c r="F312" s="15"/>
      <c r="G312" s="16"/>
      <c r="H312" s="17"/>
      <c r="I312" s="17"/>
      <c r="J312" s="17"/>
      <c r="K312" s="17"/>
      <c r="L312" s="16"/>
      <c r="M312" s="17"/>
      <c r="N312" s="16"/>
      <c r="O312" s="17"/>
      <c r="P312" s="15"/>
      <c r="Q312" s="17"/>
      <c r="R312" s="17"/>
      <c r="S312" s="17"/>
      <c r="T312" s="17"/>
      <c r="U312" s="18" t="str">
        <f aca="false">IF(A312="","",IF(N(G312)-N(L312)-N(N312)&lt;0,"Check shares",IF(AND(P312&lt;&gt;"",Q312&lt;&gt;""),"Closed","Open")))</f>
        <v/>
      </c>
      <c r="V312" s="19" t="str">
        <f aca="false">IF(OR(F312="",P312=""),"",NETWORKDAYS(F312,P312,Lists!$F$5:$F$40)-1)</f>
        <v/>
      </c>
      <c r="W312" s="18" t="str">
        <f aca="false">IF(V312="","",IF(V312=0,"Same day","Overnight"))</f>
        <v/>
      </c>
      <c r="X312" s="18" t="str">
        <f aca="false">IF(OR(E312="",F312=""),"",IF(AND(E312&gt;=F312,OR(P312="",E312&lt;=P312)),"Yes","No"))</f>
        <v/>
      </c>
      <c r="Y312" s="20" t="str">
        <f aca="false">IF(A312="","",N(G312)-N(L312)-N(N312))</f>
        <v/>
      </c>
      <c r="Z312" s="21" t="str">
        <f aca="false">IF(OR(G312="",H312="",I312=""),"",ABS(H312-I312)*G312)</f>
        <v/>
      </c>
      <c r="AA312" s="22" t="str">
        <f aca="false">IF(OR(J312="",N(Z312)=0),"",ABS(J312-H312)/ABS(H312-I312))</f>
        <v/>
      </c>
      <c r="AB312" s="23" t="str">
        <f aca="false">IF(U312&lt;&gt;"Closed","",(N(L312)*N(M312)+N(N312)*N(O312)+Y312*Q312)/G312)</f>
        <v/>
      </c>
      <c r="AC312" s="24" t="str">
        <f aca="false">IF(U312&lt;&gt;"Closed","",IF($B312="Short",-1,1)*((N(M312)-H312)*N(L312)+(N(O312)-H312)*N(N312)+(Q312-H312)*Y312)-N(R312))</f>
        <v/>
      </c>
      <c r="AD312" s="25" t="str">
        <f aca="false">IF(OR(AC312="",N(Z312)=0),"",AC312/Z312)</f>
        <v/>
      </c>
      <c r="AE312" s="25" t="str">
        <f aca="false">IF(OR(S312="",N(Z312)=0),"",IF($B312="Short",-1,1)*(S312-H312)*G312/Z312)</f>
        <v/>
      </c>
      <c r="AF312" s="25" t="str">
        <f aca="false">IF(OR(T312="",N(Z312)=0),"",IF($B312="Short",-1,1)*(T312-H312)*G312/Z312)</f>
        <v/>
      </c>
      <c r="AG312" s="21" t="str">
        <f aca="false">IF(U312&lt;&gt;"Open","",Y312*MAX(0,IF($B312="Short",-1,1)*(H312-IF(K312="",I312,K312))))</f>
        <v/>
      </c>
      <c r="AH312" s="26" t="str">
        <f aca="false">IF(U312&lt;&gt;"Closed","",DATE(YEAR(P312),MONTH(P312),1))</f>
        <v/>
      </c>
      <c r="AI312" s="19" t="str">
        <f aca="false">IF(U312&lt;&gt;"Closed","",COUNTIFS($U$7:$U$506,"Closed",$P$7:$P$506,"&lt;"&amp;P312)+COUNTIFS($U$7:U312,"Closed",$P$7:P312,P312))</f>
        <v/>
      </c>
    </row>
    <row r="313" customFormat="false" ht="15" hidden="false" customHeight="false" outlineLevel="0" collapsed="false">
      <c r="A313" s="13"/>
      <c r="B313" s="48"/>
      <c r="C313" s="48"/>
      <c r="D313" s="48"/>
      <c r="E313" s="15"/>
      <c r="F313" s="15"/>
      <c r="G313" s="16"/>
      <c r="H313" s="17"/>
      <c r="I313" s="17"/>
      <c r="J313" s="17"/>
      <c r="K313" s="17"/>
      <c r="L313" s="16"/>
      <c r="M313" s="17"/>
      <c r="N313" s="16"/>
      <c r="O313" s="17"/>
      <c r="P313" s="15"/>
      <c r="Q313" s="17"/>
      <c r="R313" s="17"/>
      <c r="S313" s="17"/>
      <c r="T313" s="17"/>
      <c r="U313" s="18" t="str">
        <f aca="false">IF(A313="","",IF(N(G313)-N(L313)-N(N313)&lt;0,"Check shares",IF(AND(P313&lt;&gt;"",Q313&lt;&gt;""),"Closed","Open")))</f>
        <v/>
      </c>
      <c r="V313" s="19" t="str">
        <f aca="false">IF(OR(F313="",P313=""),"",NETWORKDAYS(F313,P313,Lists!$F$5:$F$40)-1)</f>
        <v/>
      </c>
      <c r="W313" s="18" t="str">
        <f aca="false">IF(V313="","",IF(V313=0,"Same day","Overnight"))</f>
        <v/>
      </c>
      <c r="X313" s="18" t="str">
        <f aca="false">IF(OR(E313="",F313=""),"",IF(AND(E313&gt;=F313,OR(P313="",E313&lt;=P313)),"Yes","No"))</f>
        <v/>
      </c>
      <c r="Y313" s="20" t="str">
        <f aca="false">IF(A313="","",N(G313)-N(L313)-N(N313))</f>
        <v/>
      </c>
      <c r="Z313" s="21" t="str">
        <f aca="false">IF(OR(G313="",H313="",I313=""),"",ABS(H313-I313)*G313)</f>
        <v/>
      </c>
      <c r="AA313" s="22" t="str">
        <f aca="false">IF(OR(J313="",N(Z313)=0),"",ABS(J313-H313)/ABS(H313-I313))</f>
        <v/>
      </c>
      <c r="AB313" s="23" t="str">
        <f aca="false">IF(U313&lt;&gt;"Closed","",(N(L313)*N(M313)+N(N313)*N(O313)+Y313*Q313)/G313)</f>
        <v/>
      </c>
      <c r="AC313" s="24" t="str">
        <f aca="false">IF(U313&lt;&gt;"Closed","",IF($B313="Short",-1,1)*((N(M313)-H313)*N(L313)+(N(O313)-H313)*N(N313)+(Q313-H313)*Y313)-N(R313))</f>
        <v/>
      </c>
      <c r="AD313" s="25" t="str">
        <f aca="false">IF(OR(AC313="",N(Z313)=0),"",AC313/Z313)</f>
        <v/>
      </c>
      <c r="AE313" s="25" t="str">
        <f aca="false">IF(OR(S313="",N(Z313)=0),"",IF($B313="Short",-1,1)*(S313-H313)*G313/Z313)</f>
        <v/>
      </c>
      <c r="AF313" s="25" t="str">
        <f aca="false">IF(OR(T313="",N(Z313)=0),"",IF($B313="Short",-1,1)*(T313-H313)*G313/Z313)</f>
        <v/>
      </c>
      <c r="AG313" s="21" t="str">
        <f aca="false">IF(U313&lt;&gt;"Open","",Y313*MAX(0,IF($B313="Short",-1,1)*(H313-IF(K313="",I313,K313))))</f>
        <v/>
      </c>
      <c r="AH313" s="26" t="str">
        <f aca="false">IF(U313&lt;&gt;"Closed","",DATE(YEAR(P313),MONTH(P313),1))</f>
        <v/>
      </c>
      <c r="AI313" s="19" t="str">
        <f aca="false">IF(U313&lt;&gt;"Closed","",COUNTIFS($U$7:$U$506,"Closed",$P$7:$P$506,"&lt;"&amp;P313)+COUNTIFS($U$7:U313,"Closed",$P$7:P313,P313))</f>
        <v/>
      </c>
    </row>
    <row r="314" customFormat="false" ht="15" hidden="false" customHeight="false" outlineLevel="0" collapsed="false">
      <c r="A314" s="13"/>
      <c r="B314" s="48"/>
      <c r="C314" s="48"/>
      <c r="D314" s="48"/>
      <c r="E314" s="15"/>
      <c r="F314" s="15"/>
      <c r="G314" s="16"/>
      <c r="H314" s="17"/>
      <c r="I314" s="17"/>
      <c r="J314" s="17"/>
      <c r="K314" s="17"/>
      <c r="L314" s="16"/>
      <c r="M314" s="17"/>
      <c r="N314" s="16"/>
      <c r="O314" s="17"/>
      <c r="P314" s="15"/>
      <c r="Q314" s="17"/>
      <c r="R314" s="17"/>
      <c r="S314" s="17"/>
      <c r="T314" s="17"/>
      <c r="U314" s="18" t="str">
        <f aca="false">IF(A314="","",IF(N(G314)-N(L314)-N(N314)&lt;0,"Check shares",IF(AND(P314&lt;&gt;"",Q314&lt;&gt;""),"Closed","Open")))</f>
        <v/>
      </c>
      <c r="V314" s="19" t="str">
        <f aca="false">IF(OR(F314="",P314=""),"",NETWORKDAYS(F314,P314,Lists!$F$5:$F$40)-1)</f>
        <v/>
      </c>
      <c r="W314" s="18" t="str">
        <f aca="false">IF(V314="","",IF(V314=0,"Same day","Overnight"))</f>
        <v/>
      </c>
      <c r="X314" s="18" t="str">
        <f aca="false">IF(OR(E314="",F314=""),"",IF(AND(E314&gt;=F314,OR(P314="",E314&lt;=P314)),"Yes","No"))</f>
        <v/>
      </c>
      <c r="Y314" s="20" t="str">
        <f aca="false">IF(A314="","",N(G314)-N(L314)-N(N314))</f>
        <v/>
      </c>
      <c r="Z314" s="21" t="str">
        <f aca="false">IF(OR(G314="",H314="",I314=""),"",ABS(H314-I314)*G314)</f>
        <v/>
      </c>
      <c r="AA314" s="22" t="str">
        <f aca="false">IF(OR(J314="",N(Z314)=0),"",ABS(J314-H314)/ABS(H314-I314))</f>
        <v/>
      </c>
      <c r="AB314" s="23" t="str">
        <f aca="false">IF(U314&lt;&gt;"Closed","",(N(L314)*N(M314)+N(N314)*N(O314)+Y314*Q314)/G314)</f>
        <v/>
      </c>
      <c r="AC314" s="24" t="str">
        <f aca="false">IF(U314&lt;&gt;"Closed","",IF($B314="Short",-1,1)*((N(M314)-H314)*N(L314)+(N(O314)-H314)*N(N314)+(Q314-H314)*Y314)-N(R314))</f>
        <v/>
      </c>
      <c r="AD314" s="25" t="str">
        <f aca="false">IF(OR(AC314="",N(Z314)=0),"",AC314/Z314)</f>
        <v/>
      </c>
      <c r="AE314" s="25" t="str">
        <f aca="false">IF(OR(S314="",N(Z314)=0),"",IF($B314="Short",-1,1)*(S314-H314)*G314/Z314)</f>
        <v/>
      </c>
      <c r="AF314" s="25" t="str">
        <f aca="false">IF(OR(T314="",N(Z314)=0),"",IF($B314="Short",-1,1)*(T314-H314)*G314/Z314)</f>
        <v/>
      </c>
      <c r="AG314" s="21" t="str">
        <f aca="false">IF(U314&lt;&gt;"Open","",Y314*MAX(0,IF($B314="Short",-1,1)*(H314-IF(K314="",I314,K314))))</f>
        <v/>
      </c>
      <c r="AH314" s="26" t="str">
        <f aca="false">IF(U314&lt;&gt;"Closed","",DATE(YEAR(P314),MONTH(P314),1))</f>
        <v/>
      </c>
      <c r="AI314" s="19" t="str">
        <f aca="false">IF(U314&lt;&gt;"Closed","",COUNTIFS($U$7:$U$506,"Closed",$P$7:$P$506,"&lt;"&amp;P314)+COUNTIFS($U$7:U314,"Closed",$P$7:P314,P314))</f>
        <v/>
      </c>
    </row>
    <row r="315" customFormat="false" ht="15" hidden="false" customHeight="false" outlineLevel="0" collapsed="false">
      <c r="A315" s="13"/>
      <c r="B315" s="48"/>
      <c r="C315" s="48"/>
      <c r="D315" s="48"/>
      <c r="E315" s="15"/>
      <c r="F315" s="15"/>
      <c r="G315" s="16"/>
      <c r="H315" s="17"/>
      <c r="I315" s="17"/>
      <c r="J315" s="17"/>
      <c r="K315" s="17"/>
      <c r="L315" s="16"/>
      <c r="M315" s="17"/>
      <c r="N315" s="16"/>
      <c r="O315" s="17"/>
      <c r="P315" s="15"/>
      <c r="Q315" s="17"/>
      <c r="R315" s="17"/>
      <c r="S315" s="17"/>
      <c r="T315" s="17"/>
      <c r="U315" s="18" t="str">
        <f aca="false">IF(A315="","",IF(N(G315)-N(L315)-N(N315)&lt;0,"Check shares",IF(AND(P315&lt;&gt;"",Q315&lt;&gt;""),"Closed","Open")))</f>
        <v/>
      </c>
      <c r="V315" s="19" t="str">
        <f aca="false">IF(OR(F315="",P315=""),"",NETWORKDAYS(F315,P315,Lists!$F$5:$F$40)-1)</f>
        <v/>
      </c>
      <c r="W315" s="18" t="str">
        <f aca="false">IF(V315="","",IF(V315=0,"Same day","Overnight"))</f>
        <v/>
      </c>
      <c r="X315" s="18" t="str">
        <f aca="false">IF(OR(E315="",F315=""),"",IF(AND(E315&gt;=F315,OR(P315="",E315&lt;=P315)),"Yes","No"))</f>
        <v/>
      </c>
      <c r="Y315" s="20" t="str">
        <f aca="false">IF(A315="","",N(G315)-N(L315)-N(N315))</f>
        <v/>
      </c>
      <c r="Z315" s="21" t="str">
        <f aca="false">IF(OR(G315="",H315="",I315=""),"",ABS(H315-I315)*G315)</f>
        <v/>
      </c>
      <c r="AA315" s="22" t="str">
        <f aca="false">IF(OR(J315="",N(Z315)=0),"",ABS(J315-H315)/ABS(H315-I315))</f>
        <v/>
      </c>
      <c r="AB315" s="23" t="str">
        <f aca="false">IF(U315&lt;&gt;"Closed","",(N(L315)*N(M315)+N(N315)*N(O315)+Y315*Q315)/G315)</f>
        <v/>
      </c>
      <c r="AC315" s="24" t="str">
        <f aca="false">IF(U315&lt;&gt;"Closed","",IF($B315="Short",-1,1)*((N(M315)-H315)*N(L315)+(N(O315)-H315)*N(N315)+(Q315-H315)*Y315)-N(R315))</f>
        <v/>
      </c>
      <c r="AD315" s="25" t="str">
        <f aca="false">IF(OR(AC315="",N(Z315)=0),"",AC315/Z315)</f>
        <v/>
      </c>
      <c r="AE315" s="25" t="str">
        <f aca="false">IF(OR(S315="",N(Z315)=0),"",IF($B315="Short",-1,1)*(S315-H315)*G315/Z315)</f>
        <v/>
      </c>
      <c r="AF315" s="25" t="str">
        <f aca="false">IF(OR(T315="",N(Z315)=0),"",IF($B315="Short",-1,1)*(T315-H315)*G315/Z315)</f>
        <v/>
      </c>
      <c r="AG315" s="21" t="str">
        <f aca="false">IF(U315&lt;&gt;"Open","",Y315*MAX(0,IF($B315="Short",-1,1)*(H315-IF(K315="",I315,K315))))</f>
        <v/>
      </c>
      <c r="AH315" s="26" t="str">
        <f aca="false">IF(U315&lt;&gt;"Closed","",DATE(YEAR(P315),MONTH(P315),1))</f>
        <v/>
      </c>
      <c r="AI315" s="19" t="str">
        <f aca="false">IF(U315&lt;&gt;"Closed","",COUNTIFS($U$7:$U$506,"Closed",$P$7:$P$506,"&lt;"&amp;P315)+COUNTIFS($U$7:U315,"Closed",$P$7:P315,P315))</f>
        <v/>
      </c>
    </row>
    <row r="316" customFormat="false" ht="15" hidden="false" customHeight="false" outlineLevel="0" collapsed="false">
      <c r="A316" s="13"/>
      <c r="B316" s="48"/>
      <c r="C316" s="48"/>
      <c r="D316" s="48"/>
      <c r="E316" s="15"/>
      <c r="F316" s="15"/>
      <c r="G316" s="16"/>
      <c r="H316" s="17"/>
      <c r="I316" s="17"/>
      <c r="J316" s="17"/>
      <c r="K316" s="17"/>
      <c r="L316" s="16"/>
      <c r="M316" s="17"/>
      <c r="N316" s="16"/>
      <c r="O316" s="17"/>
      <c r="P316" s="15"/>
      <c r="Q316" s="17"/>
      <c r="R316" s="17"/>
      <c r="S316" s="17"/>
      <c r="T316" s="17"/>
      <c r="U316" s="18" t="str">
        <f aca="false">IF(A316="","",IF(N(G316)-N(L316)-N(N316)&lt;0,"Check shares",IF(AND(P316&lt;&gt;"",Q316&lt;&gt;""),"Closed","Open")))</f>
        <v/>
      </c>
      <c r="V316" s="19" t="str">
        <f aca="false">IF(OR(F316="",P316=""),"",NETWORKDAYS(F316,P316,Lists!$F$5:$F$40)-1)</f>
        <v/>
      </c>
      <c r="W316" s="18" t="str">
        <f aca="false">IF(V316="","",IF(V316=0,"Same day","Overnight"))</f>
        <v/>
      </c>
      <c r="X316" s="18" t="str">
        <f aca="false">IF(OR(E316="",F316=""),"",IF(AND(E316&gt;=F316,OR(P316="",E316&lt;=P316)),"Yes","No"))</f>
        <v/>
      </c>
      <c r="Y316" s="20" t="str">
        <f aca="false">IF(A316="","",N(G316)-N(L316)-N(N316))</f>
        <v/>
      </c>
      <c r="Z316" s="21" t="str">
        <f aca="false">IF(OR(G316="",H316="",I316=""),"",ABS(H316-I316)*G316)</f>
        <v/>
      </c>
      <c r="AA316" s="22" t="str">
        <f aca="false">IF(OR(J316="",N(Z316)=0),"",ABS(J316-H316)/ABS(H316-I316))</f>
        <v/>
      </c>
      <c r="AB316" s="23" t="str">
        <f aca="false">IF(U316&lt;&gt;"Closed","",(N(L316)*N(M316)+N(N316)*N(O316)+Y316*Q316)/G316)</f>
        <v/>
      </c>
      <c r="AC316" s="24" t="str">
        <f aca="false">IF(U316&lt;&gt;"Closed","",IF($B316="Short",-1,1)*((N(M316)-H316)*N(L316)+(N(O316)-H316)*N(N316)+(Q316-H316)*Y316)-N(R316))</f>
        <v/>
      </c>
      <c r="AD316" s="25" t="str">
        <f aca="false">IF(OR(AC316="",N(Z316)=0),"",AC316/Z316)</f>
        <v/>
      </c>
      <c r="AE316" s="25" t="str">
        <f aca="false">IF(OR(S316="",N(Z316)=0),"",IF($B316="Short",-1,1)*(S316-H316)*G316/Z316)</f>
        <v/>
      </c>
      <c r="AF316" s="25" t="str">
        <f aca="false">IF(OR(T316="",N(Z316)=0),"",IF($B316="Short",-1,1)*(T316-H316)*G316/Z316)</f>
        <v/>
      </c>
      <c r="AG316" s="21" t="str">
        <f aca="false">IF(U316&lt;&gt;"Open","",Y316*MAX(0,IF($B316="Short",-1,1)*(H316-IF(K316="",I316,K316))))</f>
        <v/>
      </c>
      <c r="AH316" s="26" t="str">
        <f aca="false">IF(U316&lt;&gt;"Closed","",DATE(YEAR(P316),MONTH(P316),1))</f>
        <v/>
      </c>
      <c r="AI316" s="19" t="str">
        <f aca="false">IF(U316&lt;&gt;"Closed","",COUNTIFS($U$7:$U$506,"Closed",$P$7:$P$506,"&lt;"&amp;P316)+COUNTIFS($U$7:U316,"Closed",$P$7:P316,P316))</f>
        <v/>
      </c>
    </row>
    <row r="317" customFormat="false" ht="15" hidden="false" customHeight="false" outlineLevel="0" collapsed="false">
      <c r="A317" s="13"/>
      <c r="B317" s="48"/>
      <c r="C317" s="48"/>
      <c r="D317" s="48"/>
      <c r="E317" s="15"/>
      <c r="F317" s="15"/>
      <c r="G317" s="16"/>
      <c r="H317" s="17"/>
      <c r="I317" s="17"/>
      <c r="J317" s="17"/>
      <c r="K317" s="17"/>
      <c r="L317" s="16"/>
      <c r="M317" s="17"/>
      <c r="N317" s="16"/>
      <c r="O317" s="17"/>
      <c r="P317" s="15"/>
      <c r="Q317" s="17"/>
      <c r="R317" s="17"/>
      <c r="S317" s="17"/>
      <c r="T317" s="17"/>
      <c r="U317" s="18" t="str">
        <f aca="false">IF(A317="","",IF(N(G317)-N(L317)-N(N317)&lt;0,"Check shares",IF(AND(P317&lt;&gt;"",Q317&lt;&gt;""),"Closed","Open")))</f>
        <v/>
      </c>
      <c r="V317" s="19" t="str">
        <f aca="false">IF(OR(F317="",P317=""),"",NETWORKDAYS(F317,P317,Lists!$F$5:$F$40)-1)</f>
        <v/>
      </c>
      <c r="W317" s="18" t="str">
        <f aca="false">IF(V317="","",IF(V317=0,"Same day","Overnight"))</f>
        <v/>
      </c>
      <c r="X317" s="18" t="str">
        <f aca="false">IF(OR(E317="",F317=""),"",IF(AND(E317&gt;=F317,OR(P317="",E317&lt;=P317)),"Yes","No"))</f>
        <v/>
      </c>
      <c r="Y317" s="20" t="str">
        <f aca="false">IF(A317="","",N(G317)-N(L317)-N(N317))</f>
        <v/>
      </c>
      <c r="Z317" s="21" t="str">
        <f aca="false">IF(OR(G317="",H317="",I317=""),"",ABS(H317-I317)*G317)</f>
        <v/>
      </c>
      <c r="AA317" s="22" t="str">
        <f aca="false">IF(OR(J317="",N(Z317)=0),"",ABS(J317-H317)/ABS(H317-I317))</f>
        <v/>
      </c>
      <c r="AB317" s="23" t="str">
        <f aca="false">IF(U317&lt;&gt;"Closed","",(N(L317)*N(M317)+N(N317)*N(O317)+Y317*Q317)/G317)</f>
        <v/>
      </c>
      <c r="AC317" s="24" t="str">
        <f aca="false">IF(U317&lt;&gt;"Closed","",IF($B317="Short",-1,1)*((N(M317)-H317)*N(L317)+(N(O317)-H317)*N(N317)+(Q317-H317)*Y317)-N(R317))</f>
        <v/>
      </c>
      <c r="AD317" s="25" t="str">
        <f aca="false">IF(OR(AC317="",N(Z317)=0),"",AC317/Z317)</f>
        <v/>
      </c>
      <c r="AE317" s="25" t="str">
        <f aca="false">IF(OR(S317="",N(Z317)=0),"",IF($B317="Short",-1,1)*(S317-H317)*G317/Z317)</f>
        <v/>
      </c>
      <c r="AF317" s="25" t="str">
        <f aca="false">IF(OR(T317="",N(Z317)=0),"",IF($B317="Short",-1,1)*(T317-H317)*G317/Z317)</f>
        <v/>
      </c>
      <c r="AG317" s="21" t="str">
        <f aca="false">IF(U317&lt;&gt;"Open","",Y317*MAX(0,IF($B317="Short",-1,1)*(H317-IF(K317="",I317,K317))))</f>
        <v/>
      </c>
      <c r="AH317" s="26" t="str">
        <f aca="false">IF(U317&lt;&gt;"Closed","",DATE(YEAR(P317),MONTH(P317),1))</f>
        <v/>
      </c>
      <c r="AI317" s="19" t="str">
        <f aca="false">IF(U317&lt;&gt;"Closed","",COUNTIFS($U$7:$U$506,"Closed",$P$7:$P$506,"&lt;"&amp;P317)+COUNTIFS($U$7:U317,"Closed",$P$7:P317,P317))</f>
        <v/>
      </c>
    </row>
    <row r="318" customFormat="false" ht="15" hidden="false" customHeight="false" outlineLevel="0" collapsed="false">
      <c r="A318" s="13"/>
      <c r="B318" s="48"/>
      <c r="C318" s="48"/>
      <c r="D318" s="48"/>
      <c r="E318" s="15"/>
      <c r="F318" s="15"/>
      <c r="G318" s="16"/>
      <c r="H318" s="17"/>
      <c r="I318" s="17"/>
      <c r="J318" s="17"/>
      <c r="K318" s="17"/>
      <c r="L318" s="16"/>
      <c r="M318" s="17"/>
      <c r="N318" s="16"/>
      <c r="O318" s="17"/>
      <c r="P318" s="15"/>
      <c r="Q318" s="17"/>
      <c r="R318" s="17"/>
      <c r="S318" s="17"/>
      <c r="T318" s="17"/>
      <c r="U318" s="18" t="str">
        <f aca="false">IF(A318="","",IF(N(G318)-N(L318)-N(N318)&lt;0,"Check shares",IF(AND(P318&lt;&gt;"",Q318&lt;&gt;""),"Closed","Open")))</f>
        <v/>
      </c>
      <c r="V318" s="19" t="str">
        <f aca="false">IF(OR(F318="",P318=""),"",NETWORKDAYS(F318,P318,Lists!$F$5:$F$40)-1)</f>
        <v/>
      </c>
      <c r="W318" s="18" t="str">
        <f aca="false">IF(V318="","",IF(V318=0,"Same day","Overnight"))</f>
        <v/>
      </c>
      <c r="X318" s="18" t="str">
        <f aca="false">IF(OR(E318="",F318=""),"",IF(AND(E318&gt;=F318,OR(P318="",E318&lt;=P318)),"Yes","No"))</f>
        <v/>
      </c>
      <c r="Y318" s="20" t="str">
        <f aca="false">IF(A318="","",N(G318)-N(L318)-N(N318))</f>
        <v/>
      </c>
      <c r="Z318" s="21" t="str">
        <f aca="false">IF(OR(G318="",H318="",I318=""),"",ABS(H318-I318)*G318)</f>
        <v/>
      </c>
      <c r="AA318" s="22" t="str">
        <f aca="false">IF(OR(J318="",N(Z318)=0),"",ABS(J318-H318)/ABS(H318-I318))</f>
        <v/>
      </c>
      <c r="AB318" s="23" t="str">
        <f aca="false">IF(U318&lt;&gt;"Closed","",(N(L318)*N(M318)+N(N318)*N(O318)+Y318*Q318)/G318)</f>
        <v/>
      </c>
      <c r="AC318" s="24" t="str">
        <f aca="false">IF(U318&lt;&gt;"Closed","",IF($B318="Short",-1,1)*((N(M318)-H318)*N(L318)+(N(O318)-H318)*N(N318)+(Q318-H318)*Y318)-N(R318))</f>
        <v/>
      </c>
      <c r="AD318" s="25" t="str">
        <f aca="false">IF(OR(AC318="",N(Z318)=0),"",AC318/Z318)</f>
        <v/>
      </c>
      <c r="AE318" s="25" t="str">
        <f aca="false">IF(OR(S318="",N(Z318)=0),"",IF($B318="Short",-1,1)*(S318-H318)*G318/Z318)</f>
        <v/>
      </c>
      <c r="AF318" s="25" t="str">
        <f aca="false">IF(OR(T318="",N(Z318)=0),"",IF($B318="Short",-1,1)*(T318-H318)*G318/Z318)</f>
        <v/>
      </c>
      <c r="AG318" s="21" t="str">
        <f aca="false">IF(U318&lt;&gt;"Open","",Y318*MAX(0,IF($B318="Short",-1,1)*(H318-IF(K318="",I318,K318))))</f>
        <v/>
      </c>
      <c r="AH318" s="26" t="str">
        <f aca="false">IF(U318&lt;&gt;"Closed","",DATE(YEAR(P318),MONTH(P318),1))</f>
        <v/>
      </c>
      <c r="AI318" s="19" t="str">
        <f aca="false">IF(U318&lt;&gt;"Closed","",COUNTIFS($U$7:$U$506,"Closed",$P$7:$P$506,"&lt;"&amp;P318)+COUNTIFS($U$7:U318,"Closed",$P$7:P318,P318))</f>
        <v/>
      </c>
    </row>
    <row r="319" customFormat="false" ht="15" hidden="false" customHeight="false" outlineLevel="0" collapsed="false">
      <c r="A319" s="13"/>
      <c r="B319" s="48"/>
      <c r="C319" s="48"/>
      <c r="D319" s="48"/>
      <c r="E319" s="15"/>
      <c r="F319" s="15"/>
      <c r="G319" s="16"/>
      <c r="H319" s="17"/>
      <c r="I319" s="17"/>
      <c r="J319" s="17"/>
      <c r="K319" s="17"/>
      <c r="L319" s="16"/>
      <c r="M319" s="17"/>
      <c r="N319" s="16"/>
      <c r="O319" s="17"/>
      <c r="P319" s="15"/>
      <c r="Q319" s="17"/>
      <c r="R319" s="17"/>
      <c r="S319" s="17"/>
      <c r="T319" s="17"/>
      <c r="U319" s="18" t="str">
        <f aca="false">IF(A319="","",IF(N(G319)-N(L319)-N(N319)&lt;0,"Check shares",IF(AND(P319&lt;&gt;"",Q319&lt;&gt;""),"Closed","Open")))</f>
        <v/>
      </c>
      <c r="V319" s="19" t="str">
        <f aca="false">IF(OR(F319="",P319=""),"",NETWORKDAYS(F319,P319,Lists!$F$5:$F$40)-1)</f>
        <v/>
      </c>
      <c r="W319" s="18" t="str">
        <f aca="false">IF(V319="","",IF(V319=0,"Same day","Overnight"))</f>
        <v/>
      </c>
      <c r="X319" s="18" t="str">
        <f aca="false">IF(OR(E319="",F319=""),"",IF(AND(E319&gt;=F319,OR(P319="",E319&lt;=P319)),"Yes","No"))</f>
        <v/>
      </c>
      <c r="Y319" s="20" t="str">
        <f aca="false">IF(A319="","",N(G319)-N(L319)-N(N319))</f>
        <v/>
      </c>
      <c r="Z319" s="21" t="str">
        <f aca="false">IF(OR(G319="",H319="",I319=""),"",ABS(H319-I319)*G319)</f>
        <v/>
      </c>
      <c r="AA319" s="22" t="str">
        <f aca="false">IF(OR(J319="",N(Z319)=0),"",ABS(J319-H319)/ABS(H319-I319))</f>
        <v/>
      </c>
      <c r="AB319" s="23" t="str">
        <f aca="false">IF(U319&lt;&gt;"Closed","",(N(L319)*N(M319)+N(N319)*N(O319)+Y319*Q319)/G319)</f>
        <v/>
      </c>
      <c r="AC319" s="24" t="str">
        <f aca="false">IF(U319&lt;&gt;"Closed","",IF($B319="Short",-1,1)*((N(M319)-H319)*N(L319)+(N(O319)-H319)*N(N319)+(Q319-H319)*Y319)-N(R319))</f>
        <v/>
      </c>
      <c r="AD319" s="25" t="str">
        <f aca="false">IF(OR(AC319="",N(Z319)=0),"",AC319/Z319)</f>
        <v/>
      </c>
      <c r="AE319" s="25" t="str">
        <f aca="false">IF(OR(S319="",N(Z319)=0),"",IF($B319="Short",-1,1)*(S319-H319)*G319/Z319)</f>
        <v/>
      </c>
      <c r="AF319" s="25" t="str">
        <f aca="false">IF(OR(T319="",N(Z319)=0),"",IF($B319="Short",-1,1)*(T319-H319)*G319/Z319)</f>
        <v/>
      </c>
      <c r="AG319" s="21" t="str">
        <f aca="false">IF(U319&lt;&gt;"Open","",Y319*MAX(0,IF($B319="Short",-1,1)*(H319-IF(K319="",I319,K319))))</f>
        <v/>
      </c>
      <c r="AH319" s="26" t="str">
        <f aca="false">IF(U319&lt;&gt;"Closed","",DATE(YEAR(P319),MONTH(P319),1))</f>
        <v/>
      </c>
      <c r="AI319" s="19" t="str">
        <f aca="false">IF(U319&lt;&gt;"Closed","",COUNTIFS($U$7:$U$506,"Closed",$P$7:$P$506,"&lt;"&amp;P319)+COUNTIFS($U$7:U319,"Closed",$P$7:P319,P319))</f>
        <v/>
      </c>
    </row>
    <row r="320" customFormat="false" ht="15" hidden="false" customHeight="false" outlineLevel="0" collapsed="false">
      <c r="A320" s="13"/>
      <c r="B320" s="48"/>
      <c r="C320" s="48"/>
      <c r="D320" s="48"/>
      <c r="E320" s="15"/>
      <c r="F320" s="15"/>
      <c r="G320" s="16"/>
      <c r="H320" s="17"/>
      <c r="I320" s="17"/>
      <c r="J320" s="17"/>
      <c r="K320" s="17"/>
      <c r="L320" s="16"/>
      <c r="M320" s="17"/>
      <c r="N320" s="16"/>
      <c r="O320" s="17"/>
      <c r="P320" s="15"/>
      <c r="Q320" s="17"/>
      <c r="R320" s="17"/>
      <c r="S320" s="17"/>
      <c r="T320" s="17"/>
      <c r="U320" s="18" t="str">
        <f aca="false">IF(A320="","",IF(N(G320)-N(L320)-N(N320)&lt;0,"Check shares",IF(AND(P320&lt;&gt;"",Q320&lt;&gt;""),"Closed","Open")))</f>
        <v/>
      </c>
      <c r="V320" s="19" t="str">
        <f aca="false">IF(OR(F320="",P320=""),"",NETWORKDAYS(F320,P320,Lists!$F$5:$F$40)-1)</f>
        <v/>
      </c>
      <c r="W320" s="18" t="str">
        <f aca="false">IF(V320="","",IF(V320=0,"Same day","Overnight"))</f>
        <v/>
      </c>
      <c r="X320" s="18" t="str">
        <f aca="false">IF(OR(E320="",F320=""),"",IF(AND(E320&gt;=F320,OR(P320="",E320&lt;=P320)),"Yes","No"))</f>
        <v/>
      </c>
      <c r="Y320" s="20" t="str">
        <f aca="false">IF(A320="","",N(G320)-N(L320)-N(N320))</f>
        <v/>
      </c>
      <c r="Z320" s="21" t="str">
        <f aca="false">IF(OR(G320="",H320="",I320=""),"",ABS(H320-I320)*G320)</f>
        <v/>
      </c>
      <c r="AA320" s="22" t="str">
        <f aca="false">IF(OR(J320="",N(Z320)=0),"",ABS(J320-H320)/ABS(H320-I320))</f>
        <v/>
      </c>
      <c r="AB320" s="23" t="str">
        <f aca="false">IF(U320&lt;&gt;"Closed","",(N(L320)*N(M320)+N(N320)*N(O320)+Y320*Q320)/G320)</f>
        <v/>
      </c>
      <c r="AC320" s="24" t="str">
        <f aca="false">IF(U320&lt;&gt;"Closed","",IF($B320="Short",-1,1)*((N(M320)-H320)*N(L320)+(N(O320)-H320)*N(N320)+(Q320-H320)*Y320)-N(R320))</f>
        <v/>
      </c>
      <c r="AD320" s="25" t="str">
        <f aca="false">IF(OR(AC320="",N(Z320)=0),"",AC320/Z320)</f>
        <v/>
      </c>
      <c r="AE320" s="25" t="str">
        <f aca="false">IF(OR(S320="",N(Z320)=0),"",IF($B320="Short",-1,1)*(S320-H320)*G320/Z320)</f>
        <v/>
      </c>
      <c r="AF320" s="25" t="str">
        <f aca="false">IF(OR(T320="",N(Z320)=0),"",IF($B320="Short",-1,1)*(T320-H320)*G320/Z320)</f>
        <v/>
      </c>
      <c r="AG320" s="21" t="str">
        <f aca="false">IF(U320&lt;&gt;"Open","",Y320*MAX(0,IF($B320="Short",-1,1)*(H320-IF(K320="",I320,K320))))</f>
        <v/>
      </c>
      <c r="AH320" s="26" t="str">
        <f aca="false">IF(U320&lt;&gt;"Closed","",DATE(YEAR(P320),MONTH(P320),1))</f>
        <v/>
      </c>
      <c r="AI320" s="19" t="str">
        <f aca="false">IF(U320&lt;&gt;"Closed","",COUNTIFS($U$7:$U$506,"Closed",$P$7:$P$506,"&lt;"&amp;P320)+COUNTIFS($U$7:U320,"Closed",$P$7:P320,P320))</f>
        <v/>
      </c>
    </row>
    <row r="321" customFormat="false" ht="15" hidden="false" customHeight="false" outlineLevel="0" collapsed="false">
      <c r="A321" s="13"/>
      <c r="B321" s="48"/>
      <c r="C321" s="48"/>
      <c r="D321" s="48"/>
      <c r="E321" s="15"/>
      <c r="F321" s="15"/>
      <c r="G321" s="16"/>
      <c r="H321" s="17"/>
      <c r="I321" s="17"/>
      <c r="J321" s="17"/>
      <c r="K321" s="17"/>
      <c r="L321" s="16"/>
      <c r="M321" s="17"/>
      <c r="N321" s="16"/>
      <c r="O321" s="17"/>
      <c r="P321" s="15"/>
      <c r="Q321" s="17"/>
      <c r="R321" s="17"/>
      <c r="S321" s="17"/>
      <c r="T321" s="17"/>
      <c r="U321" s="18" t="str">
        <f aca="false">IF(A321="","",IF(N(G321)-N(L321)-N(N321)&lt;0,"Check shares",IF(AND(P321&lt;&gt;"",Q321&lt;&gt;""),"Closed","Open")))</f>
        <v/>
      </c>
      <c r="V321" s="19" t="str">
        <f aca="false">IF(OR(F321="",P321=""),"",NETWORKDAYS(F321,P321,Lists!$F$5:$F$40)-1)</f>
        <v/>
      </c>
      <c r="W321" s="18" t="str">
        <f aca="false">IF(V321="","",IF(V321=0,"Same day","Overnight"))</f>
        <v/>
      </c>
      <c r="X321" s="18" t="str">
        <f aca="false">IF(OR(E321="",F321=""),"",IF(AND(E321&gt;=F321,OR(P321="",E321&lt;=P321)),"Yes","No"))</f>
        <v/>
      </c>
      <c r="Y321" s="20" t="str">
        <f aca="false">IF(A321="","",N(G321)-N(L321)-N(N321))</f>
        <v/>
      </c>
      <c r="Z321" s="21" t="str">
        <f aca="false">IF(OR(G321="",H321="",I321=""),"",ABS(H321-I321)*G321)</f>
        <v/>
      </c>
      <c r="AA321" s="22" t="str">
        <f aca="false">IF(OR(J321="",N(Z321)=0),"",ABS(J321-H321)/ABS(H321-I321))</f>
        <v/>
      </c>
      <c r="AB321" s="23" t="str">
        <f aca="false">IF(U321&lt;&gt;"Closed","",(N(L321)*N(M321)+N(N321)*N(O321)+Y321*Q321)/G321)</f>
        <v/>
      </c>
      <c r="AC321" s="24" t="str">
        <f aca="false">IF(U321&lt;&gt;"Closed","",IF($B321="Short",-1,1)*((N(M321)-H321)*N(L321)+(N(O321)-H321)*N(N321)+(Q321-H321)*Y321)-N(R321))</f>
        <v/>
      </c>
      <c r="AD321" s="25" t="str">
        <f aca="false">IF(OR(AC321="",N(Z321)=0),"",AC321/Z321)</f>
        <v/>
      </c>
      <c r="AE321" s="25" t="str">
        <f aca="false">IF(OR(S321="",N(Z321)=0),"",IF($B321="Short",-1,1)*(S321-H321)*G321/Z321)</f>
        <v/>
      </c>
      <c r="AF321" s="25" t="str">
        <f aca="false">IF(OR(T321="",N(Z321)=0),"",IF($B321="Short",-1,1)*(T321-H321)*G321/Z321)</f>
        <v/>
      </c>
      <c r="AG321" s="21" t="str">
        <f aca="false">IF(U321&lt;&gt;"Open","",Y321*MAX(0,IF($B321="Short",-1,1)*(H321-IF(K321="",I321,K321))))</f>
        <v/>
      </c>
      <c r="AH321" s="26" t="str">
        <f aca="false">IF(U321&lt;&gt;"Closed","",DATE(YEAR(P321),MONTH(P321),1))</f>
        <v/>
      </c>
      <c r="AI321" s="19" t="str">
        <f aca="false">IF(U321&lt;&gt;"Closed","",COUNTIFS($U$7:$U$506,"Closed",$P$7:$P$506,"&lt;"&amp;P321)+COUNTIFS($U$7:U321,"Closed",$P$7:P321,P321))</f>
        <v/>
      </c>
    </row>
    <row r="322" customFormat="false" ht="15" hidden="false" customHeight="false" outlineLevel="0" collapsed="false">
      <c r="A322" s="13"/>
      <c r="B322" s="48"/>
      <c r="C322" s="48"/>
      <c r="D322" s="48"/>
      <c r="E322" s="15"/>
      <c r="F322" s="15"/>
      <c r="G322" s="16"/>
      <c r="H322" s="17"/>
      <c r="I322" s="17"/>
      <c r="J322" s="17"/>
      <c r="K322" s="17"/>
      <c r="L322" s="16"/>
      <c r="M322" s="17"/>
      <c r="N322" s="16"/>
      <c r="O322" s="17"/>
      <c r="P322" s="15"/>
      <c r="Q322" s="17"/>
      <c r="R322" s="17"/>
      <c r="S322" s="17"/>
      <c r="T322" s="17"/>
      <c r="U322" s="18" t="str">
        <f aca="false">IF(A322="","",IF(N(G322)-N(L322)-N(N322)&lt;0,"Check shares",IF(AND(P322&lt;&gt;"",Q322&lt;&gt;""),"Closed","Open")))</f>
        <v/>
      </c>
      <c r="V322" s="19" t="str">
        <f aca="false">IF(OR(F322="",P322=""),"",NETWORKDAYS(F322,P322,Lists!$F$5:$F$40)-1)</f>
        <v/>
      </c>
      <c r="W322" s="18" t="str">
        <f aca="false">IF(V322="","",IF(V322=0,"Same day","Overnight"))</f>
        <v/>
      </c>
      <c r="X322" s="18" t="str">
        <f aca="false">IF(OR(E322="",F322=""),"",IF(AND(E322&gt;=F322,OR(P322="",E322&lt;=P322)),"Yes","No"))</f>
        <v/>
      </c>
      <c r="Y322" s="20" t="str">
        <f aca="false">IF(A322="","",N(G322)-N(L322)-N(N322))</f>
        <v/>
      </c>
      <c r="Z322" s="21" t="str">
        <f aca="false">IF(OR(G322="",H322="",I322=""),"",ABS(H322-I322)*G322)</f>
        <v/>
      </c>
      <c r="AA322" s="22" t="str">
        <f aca="false">IF(OR(J322="",N(Z322)=0),"",ABS(J322-H322)/ABS(H322-I322))</f>
        <v/>
      </c>
      <c r="AB322" s="23" t="str">
        <f aca="false">IF(U322&lt;&gt;"Closed","",(N(L322)*N(M322)+N(N322)*N(O322)+Y322*Q322)/G322)</f>
        <v/>
      </c>
      <c r="AC322" s="24" t="str">
        <f aca="false">IF(U322&lt;&gt;"Closed","",IF($B322="Short",-1,1)*((N(M322)-H322)*N(L322)+(N(O322)-H322)*N(N322)+(Q322-H322)*Y322)-N(R322))</f>
        <v/>
      </c>
      <c r="AD322" s="25" t="str">
        <f aca="false">IF(OR(AC322="",N(Z322)=0),"",AC322/Z322)</f>
        <v/>
      </c>
      <c r="AE322" s="25" t="str">
        <f aca="false">IF(OR(S322="",N(Z322)=0),"",IF($B322="Short",-1,1)*(S322-H322)*G322/Z322)</f>
        <v/>
      </c>
      <c r="AF322" s="25" t="str">
        <f aca="false">IF(OR(T322="",N(Z322)=0),"",IF($B322="Short",-1,1)*(T322-H322)*G322/Z322)</f>
        <v/>
      </c>
      <c r="AG322" s="21" t="str">
        <f aca="false">IF(U322&lt;&gt;"Open","",Y322*MAX(0,IF($B322="Short",-1,1)*(H322-IF(K322="",I322,K322))))</f>
        <v/>
      </c>
      <c r="AH322" s="26" t="str">
        <f aca="false">IF(U322&lt;&gt;"Closed","",DATE(YEAR(P322),MONTH(P322),1))</f>
        <v/>
      </c>
      <c r="AI322" s="19" t="str">
        <f aca="false">IF(U322&lt;&gt;"Closed","",COUNTIFS($U$7:$U$506,"Closed",$P$7:$P$506,"&lt;"&amp;P322)+COUNTIFS($U$7:U322,"Closed",$P$7:P322,P322))</f>
        <v/>
      </c>
    </row>
    <row r="323" customFormat="false" ht="15" hidden="false" customHeight="false" outlineLevel="0" collapsed="false">
      <c r="A323" s="13"/>
      <c r="B323" s="48"/>
      <c r="C323" s="48"/>
      <c r="D323" s="48"/>
      <c r="E323" s="15"/>
      <c r="F323" s="15"/>
      <c r="G323" s="16"/>
      <c r="H323" s="17"/>
      <c r="I323" s="17"/>
      <c r="J323" s="17"/>
      <c r="K323" s="17"/>
      <c r="L323" s="16"/>
      <c r="M323" s="17"/>
      <c r="N323" s="16"/>
      <c r="O323" s="17"/>
      <c r="P323" s="15"/>
      <c r="Q323" s="17"/>
      <c r="R323" s="17"/>
      <c r="S323" s="17"/>
      <c r="T323" s="17"/>
      <c r="U323" s="18" t="str">
        <f aca="false">IF(A323="","",IF(N(G323)-N(L323)-N(N323)&lt;0,"Check shares",IF(AND(P323&lt;&gt;"",Q323&lt;&gt;""),"Closed","Open")))</f>
        <v/>
      </c>
      <c r="V323" s="19" t="str">
        <f aca="false">IF(OR(F323="",P323=""),"",NETWORKDAYS(F323,P323,Lists!$F$5:$F$40)-1)</f>
        <v/>
      </c>
      <c r="W323" s="18" t="str">
        <f aca="false">IF(V323="","",IF(V323=0,"Same day","Overnight"))</f>
        <v/>
      </c>
      <c r="X323" s="18" t="str">
        <f aca="false">IF(OR(E323="",F323=""),"",IF(AND(E323&gt;=F323,OR(P323="",E323&lt;=P323)),"Yes","No"))</f>
        <v/>
      </c>
      <c r="Y323" s="20" t="str">
        <f aca="false">IF(A323="","",N(G323)-N(L323)-N(N323))</f>
        <v/>
      </c>
      <c r="Z323" s="21" t="str">
        <f aca="false">IF(OR(G323="",H323="",I323=""),"",ABS(H323-I323)*G323)</f>
        <v/>
      </c>
      <c r="AA323" s="22" t="str">
        <f aca="false">IF(OR(J323="",N(Z323)=0),"",ABS(J323-H323)/ABS(H323-I323))</f>
        <v/>
      </c>
      <c r="AB323" s="23" t="str">
        <f aca="false">IF(U323&lt;&gt;"Closed","",(N(L323)*N(M323)+N(N323)*N(O323)+Y323*Q323)/G323)</f>
        <v/>
      </c>
      <c r="AC323" s="24" t="str">
        <f aca="false">IF(U323&lt;&gt;"Closed","",IF($B323="Short",-1,1)*((N(M323)-H323)*N(L323)+(N(O323)-H323)*N(N323)+(Q323-H323)*Y323)-N(R323))</f>
        <v/>
      </c>
      <c r="AD323" s="25" t="str">
        <f aca="false">IF(OR(AC323="",N(Z323)=0),"",AC323/Z323)</f>
        <v/>
      </c>
      <c r="AE323" s="25" t="str">
        <f aca="false">IF(OR(S323="",N(Z323)=0),"",IF($B323="Short",-1,1)*(S323-H323)*G323/Z323)</f>
        <v/>
      </c>
      <c r="AF323" s="25" t="str">
        <f aca="false">IF(OR(T323="",N(Z323)=0),"",IF($B323="Short",-1,1)*(T323-H323)*G323/Z323)</f>
        <v/>
      </c>
      <c r="AG323" s="21" t="str">
        <f aca="false">IF(U323&lt;&gt;"Open","",Y323*MAX(0,IF($B323="Short",-1,1)*(H323-IF(K323="",I323,K323))))</f>
        <v/>
      </c>
      <c r="AH323" s="26" t="str">
        <f aca="false">IF(U323&lt;&gt;"Closed","",DATE(YEAR(P323),MONTH(P323),1))</f>
        <v/>
      </c>
      <c r="AI323" s="19" t="str">
        <f aca="false">IF(U323&lt;&gt;"Closed","",COUNTIFS($U$7:$U$506,"Closed",$P$7:$P$506,"&lt;"&amp;P323)+COUNTIFS($U$7:U323,"Closed",$P$7:P323,P323))</f>
        <v/>
      </c>
    </row>
    <row r="324" customFormat="false" ht="15" hidden="false" customHeight="false" outlineLevel="0" collapsed="false">
      <c r="A324" s="13"/>
      <c r="B324" s="48"/>
      <c r="C324" s="48"/>
      <c r="D324" s="48"/>
      <c r="E324" s="15"/>
      <c r="F324" s="15"/>
      <c r="G324" s="16"/>
      <c r="H324" s="17"/>
      <c r="I324" s="17"/>
      <c r="J324" s="17"/>
      <c r="K324" s="17"/>
      <c r="L324" s="16"/>
      <c r="M324" s="17"/>
      <c r="N324" s="16"/>
      <c r="O324" s="17"/>
      <c r="P324" s="15"/>
      <c r="Q324" s="17"/>
      <c r="R324" s="17"/>
      <c r="S324" s="17"/>
      <c r="T324" s="17"/>
      <c r="U324" s="18" t="str">
        <f aca="false">IF(A324="","",IF(N(G324)-N(L324)-N(N324)&lt;0,"Check shares",IF(AND(P324&lt;&gt;"",Q324&lt;&gt;""),"Closed","Open")))</f>
        <v/>
      </c>
      <c r="V324" s="19" t="str">
        <f aca="false">IF(OR(F324="",P324=""),"",NETWORKDAYS(F324,P324,Lists!$F$5:$F$40)-1)</f>
        <v/>
      </c>
      <c r="W324" s="18" t="str">
        <f aca="false">IF(V324="","",IF(V324=0,"Same day","Overnight"))</f>
        <v/>
      </c>
      <c r="X324" s="18" t="str">
        <f aca="false">IF(OR(E324="",F324=""),"",IF(AND(E324&gt;=F324,OR(P324="",E324&lt;=P324)),"Yes","No"))</f>
        <v/>
      </c>
      <c r="Y324" s="20" t="str">
        <f aca="false">IF(A324="","",N(G324)-N(L324)-N(N324))</f>
        <v/>
      </c>
      <c r="Z324" s="21" t="str">
        <f aca="false">IF(OR(G324="",H324="",I324=""),"",ABS(H324-I324)*G324)</f>
        <v/>
      </c>
      <c r="AA324" s="22" t="str">
        <f aca="false">IF(OR(J324="",N(Z324)=0),"",ABS(J324-H324)/ABS(H324-I324))</f>
        <v/>
      </c>
      <c r="AB324" s="23" t="str">
        <f aca="false">IF(U324&lt;&gt;"Closed","",(N(L324)*N(M324)+N(N324)*N(O324)+Y324*Q324)/G324)</f>
        <v/>
      </c>
      <c r="AC324" s="24" t="str">
        <f aca="false">IF(U324&lt;&gt;"Closed","",IF($B324="Short",-1,1)*((N(M324)-H324)*N(L324)+(N(O324)-H324)*N(N324)+(Q324-H324)*Y324)-N(R324))</f>
        <v/>
      </c>
      <c r="AD324" s="25" t="str">
        <f aca="false">IF(OR(AC324="",N(Z324)=0),"",AC324/Z324)</f>
        <v/>
      </c>
      <c r="AE324" s="25" t="str">
        <f aca="false">IF(OR(S324="",N(Z324)=0),"",IF($B324="Short",-1,1)*(S324-H324)*G324/Z324)</f>
        <v/>
      </c>
      <c r="AF324" s="25" t="str">
        <f aca="false">IF(OR(T324="",N(Z324)=0),"",IF($B324="Short",-1,1)*(T324-H324)*G324/Z324)</f>
        <v/>
      </c>
      <c r="AG324" s="21" t="str">
        <f aca="false">IF(U324&lt;&gt;"Open","",Y324*MAX(0,IF($B324="Short",-1,1)*(H324-IF(K324="",I324,K324))))</f>
        <v/>
      </c>
      <c r="AH324" s="26" t="str">
        <f aca="false">IF(U324&lt;&gt;"Closed","",DATE(YEAR(P324),MONTH(P324),1))</f>
        <v/>
      </c>
      <c r="AI324" s="19" t="str">
        <f aca="false">IF(U324&lt;&gt;"Closed","",COUNTIFS($U$7:$U$506,"Closed",$P$7:$P$506,"&lt;"&amp;P324)+COUNTIFS($U$7:U324,"Closed",$P$7:P324,P324))</f>
        <v/>
      </c>
    </row>
    <row r="325" customFormat="false" ht="15" hidden="false" customHeight="false" outlineLevel="0" collapsed="false">
      <c r="A325" s="13"/>
      <c r="B325" s="48"/>
      <c r="C325" s="48"/>
      <c r="D325" s="48"/>
      <c r="E325" s="15"/>
      <c r="F325" s="15"/>
      <c r="G325" s="16"/>
      <c r="H325" s="17"/>
      <c r="I325" s="17"/>
      <c r="J325" s="17"/>
      <c r="K325" s="17"/>
      <c r="L325" s="16"/>
      <c r="M325" s="17"/>
      <c r="N325" s="16"/>
      <c r="O325" s="17"/>
      <c r="P325" s="15"/>
      <c r="Q325" s="17"/>
      <c r="R325" s="17"/>
      <c r="S325" s="17"/>
      <c r="T325" s="17"/>
      <c r="U325" s="18" t="str">
        <f aca="false">IF(A325="","",IF(N(G325)-N(L325)-N(N325)&lt;0,"Check shares",IF(AND(P325&lt;&gt;"",Q325&lt;&gt;""),"Closed","Open")))</f>
        <v/>
      </c>
      <c r="V325" s="19" t="str">
        <f aca="false">IF(OR(F325="",P325=""),"",NETWORKDAYS(F325,P325,Lists!$F$5:$F$40)-1)</f>
        <v/>
      </c>
      <c r="W325" s="18" t="str">
        <f aca="false">IF(V325="","",IF(V325=0,"Same day","Overnight"))</f>
        <v/>
      </c>
      <c r="X325" s="18" t="str">
        <f aca="false">IF(OR(E325="",F325=""),"",IF(AND(E325&gt;=F325,OR(P325="",E325&lt;=P325)),"Yes","No"))</f>
        <v/>
      </c>
      <c r="Y325" s="20" t="str">
        <f aca="false">IF(A325="","",N(G325)-N(L325)-N(N325))</f>
        <v/>
      </c>
      <c r="Z325" s="21" t="str">
        <f aca="false">IF(OR(G325="",H325="",I325=""),"",ABS(H325-I325)*G325)</f>
        <v/>
      </c>
      <c r="AA325" s="22" t="str">
        <f aca="false">IF(OR(J325="",N(Z325)=0),"",ABS(J325-H325)/ABS(H325-I325))</f>
        <v/>
      </c>
      <c r="AB325" s="23" t="str">
        <f aca="false">IF(U325&lt;&gt;"Closed","",(N(L325)*N(M325)+N(N325)*N(O325)+Y325*Q325)/G325)</f>
        <v/>
      </c>
      <c r="AC325" s="24" t="str">
        <f aca="false">IF(U325&lt;&gt;"Closed","",IF($B325="Short",-1,1)*((N(M325)-H325)*N(L325)+(N(O325)-H325)*N(N325)+(Q325-H325)*Y325)-N(R325))</f>
        <v/>
      </c>
      <c r="AD325" s="25" t="str">
        <f aca="false">IF(OR(AC325="",N(Z325)=0),"",AC325/Z325)</f>
        <v/>
      </c>
      <c r="AE325" s="25" t="str">
        <f aca="false">IF(OR(S325="",N(Z325)=0),"",IF($B325="Short",-1,1)*(S325-H325)*G325/Z325)</f>
        <v/>
      </c>
      <c r="AF325" s="25" t="str">
        <f aca="false">IF(OR(T325="",N(Z325)=0),"",IF($B325="Short",-1,1)*(T325-H325)*G325/Z325)</f>
        <v/>
      </c>
      <c r="AG325" s="21" t="str">
        <f aca="false">IF(U325&lt;&gt;"Open","",Y325*MAX(0,IF($B325="Short",-1,1)*(H325-IF(K325="",I325,K325))))</f>
        <v/>
      </c>
      <c r="AH325" s="26" t="str">
        <f aca="false">IF(U325&lt;&gt;"Closed","",DATE(YEAR(P325),MONTH(P325),1))</f>
        <v/>
      </c>
      <c r="AI325" s="19" t="str">
        <f aca="false">IF(U325&lt;&gt;"Closed","",COUNTIFS($U$7:$U$506,"Closed",$P$7:$P$506,"&lt;"&amp;P325)+COUNTIFS($U$7:U325,"Closed",$P$7:P325,P325))</f>
        <v/>
      </c>
    </row>
    <row r="326" customFormat="false" ht="15" hidden="false" customHeight="false" outlineLevel="0" collapsed="false">
      <c r="A326" s="13"/>
      <c r="B326" s="48"/>
      <c r="C326" s="48"/>
      <c r="D326" s="48"/>
      <c r="E326" s="15"/>
      <c r="F326" s="15"/>
      <c r="G326" s="16"/>
      <c r="H326" s="17"/>
      <c r="I326" s="17"/>
      <c r="J326" s="17"/>
      <c r="K326" s="17"/>
      <c r="L326" s="16"/>
      <c r="M326" s="17"/>
      <c r="N326" s="16"/>
      <c r="O326" s="17"/>
      <c r="P326" s="15"/>
      <c r="Q326" s="17"/>
      <c r="R326" s="17"/>
      <c r="S326" s="17"/>
      <c r="T326" s="17"/>
      <c r="U326" s="18" t="str">
        <f aca="false">IF(A326="","",IF(N(G326)-N(L326)-N(N326)&lt;0,"Check shares",IF(AND(P326&lt;&gt;"",Q326&lt;&gt;""),"Closed","Open")))</f>
        <v/>
      </c>
      <c r="V326" s="19" t="str">
        <f aca="false">IF(OR(F326="",P326=""),"",NETWORKDAYS(F326,P326,Lists!$F$5:$F$40)-1)</f>
        <v/>
      </c>
      <c r="W326" s="18" t="str">
        <f aca="false">IF(V326="","",IF(V326=0,"Same day","Overnight"))</f>
        <v/>
      </c>
      <c r="X326" s="18" t="str">
        <f aca="false">IF(OR(E326="",F326=""),"",IF(AND(E326&gt;=F326,OR(P326="",E326&lt;=P326)),"Yes","No"))</f>
        <v/>
      </c>
      <c r="Y326" s="20" t="str">
        <f aca="false">IF(A326="","",N(G326)-N(L326)-N(N326))</f>
        <v/>
      </c>
      <c r="Z326" s="21" t="str">
        <f aca="false">IF(OR(G326="",H326="",I326=""),"",ABS(H326-I326)*G326)</f>
        <v/>
      </c>
      <c r="AA326" s="22" t="str">
        <f aca="false">IF(OR(J326="",N(Z326)=0),"",ABS(J326-H326)/ABS(H326-I326))</f>
        <v/>
      </c>
      <c r="AB326" s="23" t="str">
        <f aca="false">IF(U326&lt;&gt;"Closed","",(N(L326)*N(M326)+N(N326)*N(O326)+Y326*Q326)/G326)</f>
        <v/>
      </c>
      <c r="AC326" s="24" t="str">
        <f aca="false">IF(U326&lt;&gt;"Closed","",IF($B326="Short",-1,1)*((N(M326)-H326)*N(L326)+(N(O326)-H326)*N(N326)+(Q326-H326)*Y326)-N(R326))</f>
        <v/>
      </c>
      <c r="AD326" s="25" t="str">
        <f aca="false">IF(OR(AC326="",N(Z326)=0),"",AC326/Z326)</f>
        <v/>
      </c>
      <c r="AE326" s="25" t="str">
        <f aca="false">IF(OR(S326="",N(Z326)=0),"",IF($B326="Short",-1,1)*(S326-H326)*G326/Z326)</f>
        <v/>
      </c>
      <c r="AF326" s="25" t="str">
        <f aca="false">IF(OR(T326="",N(Z326)=0),"",IF($B326="Short",-1,1)*(T326-H326)*G326/Z326)</f>
        <v/>
      </c>
      <c r="AG326" s="21" t="str">
        <f aca="false">IF(U326&lt;&gt;"Open","",Y326*MAX(0,IF($B326="Short",-1,1)*(H326-IF(K326="",I326,K326))))</f>
        <v/>
      </c>
      <c r="AH326" s="26" t="str">
        <f aca="false">IF(U326&lt;&gt;"Closed","",DATE(YEAR(P326),MONTH(P326),1))</f>
        <v/>
      </c>
      <c r="AI326" s="19" t="str">
        <f aca="false">IF(U326&lt;&gt;"Closed","",COUNTIFS($U$7:$U$506,"Closed",$P$7:$P$506,"&lt;"&amp;P326)+COUNTIFS($U$7:U326,"Closed",$P$7:P326,P326))</f>
        <v/>
      </c>
    </row>
    <row r="327" customFormat="false" ht="15" hidden="false" customHeight="false" outlineLevel="0" collapsed="false">
      <c r="A327" s="13"/>
      <c r="B327" s="48"/>
      <c r="C327" s="48"/>
      <c r="D327" s="48"/>
      <c r="E327" s="15"/>
      <c r="F327" s="15"/>
      <c r="G327" s="16"/>
      <c r="H327" s="17"/>
      <c r="I327" s="17"/>
      <c r="J327" s="17"/>
      <c r="K327" s="17"/>
      <c r="L327" s="16"/>
      <c r="M327" s="17"/>
      <c r="N327" s="16"/>
      <c r="O327" s="17"/>
      <c r="P327" s="15"/>
      <c r="Q327" s="17"/>
      <c r="R327" s="17"/>
      <c r="S327" s="17"/>
      <c r="T327" s="17"/>
      <c r="U327" s="18" t="str">
        <f aca="false">IF(A327="","",IF(N(G327)-N(L327)-N(N327)&lt;0,"Check shares",IF(AND(P327&lt;&gt;"",Q327&lt;&gt;""),"Closed","Open")))</f>
        <v/>
      </c>
      <c r="V327" s="19" t="str">
        <f aca="false">IF(OR(F327="",P327=""),"",NETWORKDAYS(F327,P327,Lists!$F$5:$F$40)-1)</f>
        <v/>
      </c>
      <c r="W327" s="18" t="str">
        <f aca="false">IF(V327="","",IF(V327=0,"Same day","Overnight"))</f>
        <v/>
      </c>
      <c r="X327" s="18" t="str">
        <f aca="false">IF(OR(E327="",F327=""),"",IF(AND(E327&gt;=F327,OR(P327="",E327&lt;=P327)),"Yes","No"))</f>
        <v/>
      </c>
      <c r="Y327" s="20" t="str">
        <f aca="false">IF(A327="","",N(G327)-N(L327)-N(N327))</f>
        <v/>
      </c>
      <c r="Z327" s="21" t="str">
        <f aca="false">IF(OR(G327="",H327="",I327=""),"",ABS(H327-I327)*G327)</f>
        <v/>
      </c>
      <c r="AA327" s="22" t="str">
        <f aca="false">IF(OR(J327="",N(Z327)=0),"",ABS(J327-H327)/ABS(H327-I327))</f>
        <v/>
      </c>
      <c r="AB327" s="23" t="str">
        <f aca="false">IF(U327&lt;&gt;"Closed","",(N(L327)*N(M327)+N(N327)*N(O327)+Y327*Q327)/G327)</f>
        <v/>
      </c>
      <c r="AC327" s="24" t="str">
        <f aca="false">IF(U327&lt;&gt;"Closed","",IF($B327="Short",-1,1)*((N(M327)-H327)*N(L327)+(N(O327)-H327)*N(N327)+(Q327-H327)*Y327)-N(R327))</f>
        <v/>
      </c>
      <c r="AD327" s="25" t="str">
        <f aca="false">IF(OR(AC327="",N(Z327)=0),"",AC327/Z327)</f>
        <v/>
      </c>
      <c r="AE327" s="25" t="str">
        <f aca="false">IF(OR(S327="",N(Z327)=0),"",IF($B327="Short",-1,1)*(S327-H327)*G327/Z327)</f>
        <v/>
      </c>
      <c r="AF327" s="25" t="str">
        <f aca="false">IF(OR(T327="",N(Z327)=0),"",IF($B327="Short",-1,1)*(T327-H327)*G327/Z327)</f>
        <v/>
      </c>
      <c r="AG327" s="21" t="str">
        <f aca="false">IF(U327&lt;&gt;"Open","",Y327*MAX(0,IF($B327="Short",-1,1)*(H327-IF(K327="",I327,K327))))</f>
        <v/>
      </c>
      <c r="AH327" s="26" t="str">
        <f aca="false">IF(U327&lt;&gt;"Closed","",DATE(YEAR(P327),MONTH(P327),1))</f>
        <v/>
      </c>
      <c r="AI327" s="19" t="str">
        <f aca="false">IF(U327&lt;&gt;"Closed","",COUNTIFS($U$7:$U$506,"Closed",$P$7:$P$506,"&lt;"&amp;P327)+COUNTIFS($U$7:U327,"Closed",$P$7:P327,P327))</f>
        <v/>
      </c>
    </row>
    <row r="328" customFormat="false" ht="15" hidden="false" customHeight="false" outlineLevel="0" collapsed="false">
      <c r="A328" s="13"/>
      <c r="B328" s="48"/>
      <c r="C328" s="48"/>
      <c r="D328" s="48"/>
      <c r="E328" s="15"/>
      <c r="F328" s="15"/>
      <c r="G328" s="16"/>
      <c r="H328" s="17"/>
      <c r="I328" s="17"/>
      <c r="J328" s="17"/>
      <c r="K328" s="17"/>
      <c r="L328" s="16"/>
      <c r="M328" s="17"/>
      <c r="N328" s="16"/>
      <c r="O328" s="17"/>
      <c r="P328" s="15"/>
      <c r="Q328" s="17"/>
      <c r="R328" s="17"/>
      <c r="S328" s="17"/>
      <c r="T328" s="17"/>
      <c r="U328" s="18" t="str">
        <f aca="false">IF(A328="","",IF(N(G328)-N(L328)-N(N328)&lt;0,"Check shares",IF(AND(P328&lt;&gt;"",Q328&lt;&gt;""),"Closed","Open")))</f>
        <v/>
      </c>
      <c r="V328" s="19" t="str">
        <f aca="false">IF(OR(F328="",P328=""),"",NETWORKDAYS(F328,P328,Lists!$F$5:$F$40)-1)</f>
        <v/>
      </c>
      <c r="W328" s="18" t="str">
        <f aca="false">IF(V328="","",IF(V328=0,"Same day","Overnight"))</f>
        <v/>
      </c>
      <c r="X328" s="18" t="str">
        <f aca="false">IF(OR(E328="",F328=""),"",IF(AND(E328&gt;=F328,OR(P328="",E328&lt;=P328)),"Yes","No"))</f>
        <v/>
      </c>
      <c r="Y328" s="20" t="str">
        <f aca="false">IF(A328="","",N(G328)-N(L328)-N(N328))</f>
        <v/>
      </c>
      <c r="Z328" s="21" t="str">
        <f aca="false">IF(OR(G328="",H328="",I328=""),"",ABS(H328-I328)*G328)</f>
        <v/>
      </c>
      <c r="AA328" s="22" t="str">
        <f aca="false">IF(OR(J328="",N(Z328)=0),"",ABS(J328-H328)/ABS(H328-I328))</f>
        <v/>
      </c>
      <c r="AB328" s="23" t="str">
        <f aca="false">IF(U328&lt;&gt;"Closed","",(N(L328)*N(M328)+N(N328)*N(O328)+Y328*Q328)/G328)</f>
        <v/>
      </c>
      <c r="AC328" s="24" t="str">
        <f aca="false">IF(U328&lt;&gt;"Closed","",IF($B328="Short",-1,1)*((N(M328)-H328)*N(L328)+(N(O328)-H328)*N(N328)+(Q328-H328)*Y328)-N(R328))</f>
        <v/>
      </c>
      <c r="AD328" s="25" t="str">
        <f aca="false">IF(OR(AC328="",N(Z328)=0),"",AC328/Z328)</f>
        <v/>
      </c>
      <c r="AE328" s="25" t="str">
        <f aca="false">IF(OR(S328="",N(Z328)=0),"",IF($B328="Short",-1,1)*(S328-H328)*G328/Z328)</f>
        <v/>
      </c>
      <c r="AF328" s="25" t="str">
        <f aca="false">IF(OR(T328="",N(Z328)=0),"",IF($B328="Short",-1,1)*(T328-H328)*G328/Z328)</f>
        <v/>
      </c>
      <c r="AG328" s="21" t="str">
        <f aca="false">IF(U328&lt;&gt;"Open","",Y328*MAX(0,IF($B328="Short",-1,1)*(H328-IF(K328="",I328,K328))))</f>
        <v/>
      </c>
      <c r="AH328" s="26" t="str">
        <f aca="false">IF(U328&lt;&gt;"Closed","",DATE(YEAR(P328),MONTH(P328),1))</f>
        <v/>
      </c>
      <c r="AI328" s="19" t="str">
        <f aca="false">IF(U328&lt;&gt;"Closed","",COUNTIFS($U$7:$U$506,"Closed",$P$7:$P$506,"&lt;"&amp;P328)+COUNTIFS($U$7:U328,"Closed",$P$7:P328,P328))</f>
        <v/>
      </c>
    </row>
    <row r="329" customFormat="false" ht="15" hidden="false" customHeight="false" outlineLevel="0" collapsed="false">
      <c r="A329" s="13"/>
      <c r="B329" s="48"/>
      <c r="C329" s="48"/>
      <c r="D329" s="48"/>
      <c r="E329" s="15"/>
      <c r="F329" s="15"/>
      <c r="G329" s="16"/>
      <c r="H329" s="17"/>
      <c r="I329" s="17"/>
      <c r="J329" s="17"/>
      <c r="K329" s="17"/>
      <c r="L329" s="16"/>
      <c r="M329" s="17"/>
      <c r="N329" s="16"/>
      <c r="O329" s="17"/>
      <c r="P329" s="15"/>
      <c r="Q329" s="17"/>
      <c r="R329" s="17"/>
      <c r="S329" s="17"/>
      <c r="T329" s="17"/>
      <c r="U329" s="18" t="str">
        <f aca="false">IF(A329="","",IF(N(G329)-N(L329)-N(N329)&lt;0,"Check shares",IF(AND(P329&lt;&gt;"",Q329&lt;&gt;""),"Closed","Open")))</f>
        <v/>
      </c>
      <c r="V329" s="19" t="str">
        <f aca="false">IF(OR(F329="",P329=""),"",NETWORKDAYS(F329,P329,Lists!$F$5:$F$40)-1)</f>
        <v/>
      </c>
      <c r="W329" s="18" t="str">
        <f aca="false">IF(V329="","",IF(V329=0,"Same day","Overnight"))</f>
        <v/>
      </c>
      <c r="X329" s="18" t="str">
        <f aca="false">IF(OR(E329="",F329=""),"",IF(AND(E329&gt;=F329,OR(P329="",E329&lt;=P329)),"Yes","No"))</f>
        <v/>
      </c>
      <c r="Y329" s="20" t="str">
        <f aca="false">IF(A329="","",N(G329)-N(L329)-N(N329))</f>
        <v/>
      </c>
      <c r="Z329" s="21" t="str">
        <f aca="false">IF(OR(G329="",H329="",I329=""),"",ABS(H329-I329)*G329)</f>
        <v/>
      </c>
      <c r="AA329" s="22" t="str">
        <f aca="false">IF(OR(J329="",N(Z329)=0),"",ABS(J329-H329)/ABS(H329-I329))</f>
        <v/>
      </c>
      <c r="AB329" s="23" t="str">
        <f aca="false">IF(U329&lt;&gt;"Closed","",(N(L329)*N(M329)+N(N329)*N(O329)+Y329*Q329)/G329)</f>
        <v/>
      </c>
      <c r="AC329" s="24" t="str">
        <f aca="false">IF(U329&lt;&gt;"Closed","",IF($B329="Short",-1,1)*((N(M329)-H329)*N(L329)+(N(O329)-H329)*N(N329)+(Q329-H329)*Y329)-N(R329))</f>
        <v/>
      </c>
      <c r="AD329" s="25" t="str">
        <f aca="false">IF(OR(AC329="",N(Z329)=0),"",AC329/Z329)</f>
        <v/>
      </c>
      <c r="AE329" s="25" t="str">
        <f aca="false">IF(OR(S329="",N(Z329)=0),"",IF($B329="Short",-1,1)*(S329-H329)*G329/Z329)</f>
        <v/>
      </c>
      <c r="AF329" s="25" t="str">
        <f aca="false">IF(OR(T329="",N(Z329)=0),"",IF($B329="Short",-1,1)*(T329-H329)*G329/Z329)</f>
        <v/>
      </c>
      <c r="AG329" s="21" t="str">
        <f aca="false">IF(U329&lt;&gt;"Open","",Y329*MAX(0,IF($B329="Short",-1,1)*(H329-IF(K329="",I329,K329))))</f>
        <v/>
      </c>
      <c r="AH329" s="26" t="str">
        <f aca="false">IF(U329&lt;&gt;"Closed","",DATE(YEAR(P329),MONTH(P329),1))</f>
        <v/>
      </c>
      <c r="AI329" s="19" t="str">
        <f aca="false">IF(U329&lt;&gt;"Closed","",COUNTIFS($U$7:$U$506,"Closed",$P$7:$P$506,"&lt;"&amp;P329)+COUNTIFS($U$7:U329,"Closed",$P$7:P329,P329))</f>
        <v/>
      </c>
    </row>
    <row r="330" customFormat="false" ht="15" hidden="false" customHeight="false" outlineLevel="0" collapsed="false">
      <c r="A330" s="13"/>
      <c r="B330" s="48"/>
      <c r="C330" s="48"/>
      <c r="D330" s="48"/>
      <c r="E330" s="15"/>
      <c r="F330" s="15"/>
      <c r="G330" s="16"/>
      <c r="H330" s="17"/>
      <c r="I330" s="17"/>
      <c r="J330" s="17"/>
      <c r="K330" s="17"/>
      <c r="L330" s="16"/>
      <c r="M330" s="17"/>
      <c r="N330" s="16"/>
      <c r="O330" s="17"/>
      <c r="P330" s="15"/>
      <c r="Q330" s="17"/>
      <c r="R330" s="17"/>
      <c r="S330" s="17"/>
      <c r="T330" s="17"/>
      <c r="U330" s="18" t="str">
        <f aca="false">IF(A330="","",IF(N(G330)-N(L330)-N(N330)&lt;0,"Check shares",IF(AND(P330&lt;&gt;"",Q330&lt;&gt;""),"Closed","Open")))</f>
        <v/>
      </c>
      <c r="V330" s="19" t="str">
        <f aca="false">IF(OR(F330="",P330=""),"",NETWORKDAYS(F330,P330,Lists!$F$5:$F$40)-1)</f>
        <v/>
      </c>
      <c r="W330" s="18" t="str">
        <f aca="false">IF(V330="","",IF(V330=0,"Same day","Overnight"))</f>
        <v/>
      </c>
      <c r="X330" s="18" t="str">
        <f aca="false">IF(OR(E330="",F330=""),"",IF(AND(E330&gt;=F330,OR(P330="",E330&lt;=P330)),"Yes","No"))</f>
        <v/>
      </c>
      <c r="Y330" s="20" t="str">
        <f aca="false">IF(A330="","",N(G330)-N(L330)-N(N330))</f>
        <v/>
      </c>
      <c r="Z330" s="21" t="str">
        <f aca="false">IF(OR(G330="",H330="",I330=""),"",ABS(H330-I330)*G330)</f>
        <v/>
      </c>
      <c r="AA330" s="22" t="str">
        <f aca="false">IF(OR(J330="",N(Z330)=0),"",ABS(J330-H330)/ABS(H330-I330))</f>
        <v/>
      </c>
      <c r="AB330" s="23" t="str">
        <f aca="false">IF(U330&lt;&gt;"Closed","",(N(L330)*N(M330)+N(N330)*N(O330)+Y330*Q330)/G330)</f>
        <v/>
      </c>
      <c r="AC330" s="24" t="str">
        <f aca="false">IF(U330&lt;&gt;"Closed","",IF($B330="Short",-1,1)*((N(M330)-H330)*N(L330)+(N(O330)-H330)*N(N330)+(Q330-H330)*Y330)-N(R330))</f>
        <v/>
      </c>
      <c r="AD330" s="25" t="str">
        <f aca="false">IF(OR(AC330="",N(Z330)=0),"",AC330/Z330)</f>
        <v/>
      </c>
      <c r="AE330" s="25" t="str">
        <f aca="false">IF(OR(S330="",N(Z330)=0),"",IF($B330="Short",-1,1)*(S330-H330)*G330/Z330)</f>
        <v/>
      </c>
      <c r="AF330" s="25" t="str">
        <f aca="false">IF(OR(T330="",N(Z330)=0),"",IF($B330="Short",-1,1)*(T330-H330)*G330/Z330)</f>
        <v/>
      </c>
      <c r="AG330" s="21" t="str">
        <f aca="false">IF(U330&lt;&gt;"Open","",Y330*MAX(0,IF($B330="Short",-1,1)*(H330-IF(K330="",I330,K330))))</f>
        <v/>
      </c>
      <c r="AH330" s="26" t="str">
        <f aca="false">IF(U330&lt;&gt;"Closed","",DATE(YEAR(P330),MONTH(P330),1))</f>
        <v/>
      </c>
      <c r="AI330" s="19" t="str">
        <f aca="false">IF(U330&lt;&gt;"Closed","",COUNTIFS($U$7:$U$506,"Closed",$P$7:$P$506,"&lt;"&amp;P330)+COUNTIFS($U$7:U330,"Closed",$P$7:P330,P330))</f>
        <v/>
      </c>
    </row>
    <row r="331" customFormat="false" ht="15" hidden="false" customHeight="false" outlineLevel="0" collapsed="false">
      <c r="A331" s="13"/>
      <c r="B331" s="48"/>
      <c r="C331" s="48"/>
      <c r="D331" s="48"/>
      <c r="E331" s="15"/>
      <c r="F331" s="15"/>
      <c r="G331" s="16"/>
      <c r="H331" s="17"/>
      <c r="I331" s="17"/>
      <c r="J331" s="17"/>
      <c r="K331" s="17"/>
      <c r="L331" s="16"/>
      <c r="M331" s="17"/>
      <c r="N331" s="16"/>
      <c r="O331" s="17"/>
      <c r="P331" s="15"/>
      <c r="Q331" s="17"/>
      <c r="R331" s="17"/>
      <c r="S331" s="17"/>
      <c r="T331" s="17"/>
      <c r="U331" s="18" t="str">
        <f aca="false">IF(A331="","",IF(N(G331)-N(L331)-N(N331)&lt;0,"Check shares",IF(AND(P331&lt;&gt;"",Q331&lt;&gt;""),"Closed","Open")))</f>
        <v/>
      </c>
      <c r="V331" s="19" t="str">
        <f aca="false">IF(OR(F331="",P331=""),"",NETWORKDAYS(F331,P331,Lists!$F$5:$F$40)-1)</f>
        <v/>
      </c>
      <c r="W331" s="18" t="str">
        <f aca="false">IF(V331="","",IF(V331=0,"Same day","Overnight"))</f>
        <v/>
      </c>
      <c r="X331" s="18" t="str">
        <f aca="false">IF(OR(E331="",F331=""),"",IF(AND(E331&gt;=F331,OR(P331="",E331&lt;=P331)),"Yes","No"))</f>
        <v/>
      </c>
      <c r="Y331" s="20" t="str">
        <f aca="false">IF(A331="","",N(G331)-N(L331)-N(N331))</f>
        <v/>
      </c>
      <c r="Z331" s="21" t="str">
        <f aca="false">IF(OR(G331="",H331="",I331=""),"",ABS(H331-I331)*G331)</f>
        <v/>
      </c>
      <c r="AA331" s="22" t="str">
        <f aca="false">IF(OR(J331="",N(Z331)=0),"",ABS(J331-H331)/ABS(H331-I331))</f>
        <v/>
      </c>
      <c r="AB331" s="23" t="str">
        <f aca="false">IF(U331&lt;&gt;"Closed","",(N(L331)*N(M331)+N(N331)*N(O331)+Y331*Q331)/G331)</f>
        <v/>
      </c>
      <c r="AC331" s="24" t="str">
        <f aca="false">IF(U331&lt;&gt;"Closed","",IF($B331="Short",-1,1)*((N(M331)-H331)*N(L331)+(N(O331)-H331)*N(N331)+(Q331-H331)*Y331)-N(R331))</f>
        <v/>
      </c>
      <c r="AD331" s="25" t="str">
        <f aca="false">IF(OR(AC331="",N(Z331)=0),"",AC331/Z331)</f>
        <v/>
      </c>
      <c r="AE331" s="25" t="str">
        <f aca="false">IF(OR(S331="",N(Z331)=0),"",IF($B331="Short",-1,1)*(S331-H331)*G331/Z331)</f>
        <v/>
      </c>
      <c r="AF331" s="25" t="str">
        <f aca="false">IF(OR(T331="",N(Z331)=0),"",IF($B331="Short",-1,1)*(T331-H331)*G331/Z331)</f>
        <v/>
      </c>
      <c r="AG331" s="21" t="str">
        <f aca="false">IF(U331&lt;&gt;"Open","",Y331*MAX(0,IF($B331="Short",-1,1)*(H331-IF(K331="",I331,K331))))</f>
        <v/>
      </c>
      <c r="AH331" s="26" t="str">
        <f aca="false">IF(U331&lt;&gt;"Closed","",DATE(YEAR(P331),MONTH(P331),1))</f>
        <v/>
      </c>
      <c r="AI331" s="19" t="str">
        <f aca="false">IF(U331&lt;&gt;"Closed","",COUNTIFS($U$7:$U$506,"Closed",$P$7:$P$506,"&lt;"&amp;P331)+COUNTIFS($U$7:U331,"Closed",$P$7:P331,P331))</f>
        <v/>
      </c>
    </row>
    <row r="332" customFormat="false" ht="15" hidden="false" customHeight="false" outlineLevel="0" collapsed="false">
      <c r="A332" s="13"/>
      <c r="B332" s="48"/>
      <c r="C332" s="48"/>
      <c r="D332" s="48"/>
      <c r="E332" s="15"/>
      <c r="F332" s="15"/>
      <c r="G332" s="16"/>
      <c r="H332" s="17"/>
      <c r="I332" s="17"/>
      <c r="J332" s="17"/>
      <c r="K332" s="17"/>
      <c r="L332" s="16"/>
      <c r="M332" s="17"/>
      <c r="N332" s="16"/>
      <c r="O332" s="17"/>
      <c r="P332" s="15"/>
      <c r="Q332" s="17"/>
      <c r="R332" s="17"/>
      <c r="S332" s="17"/>
      <c r="T332" s="17"/>
      <c r="U332" s="18" t="str">
        <f aca="false">IF(A332="","",IF(N(G332)-N(L332)-N(N332)&lt;0,"Check shares",IF(AND(P332&lt;&gt;"",Q332&lt;&gt;""),"Closed","Open")))</f>
        <v/>
      </c>
      <c r="V332" s="19" t="str">
        <f aca="false">IF(OR(F332="",P332=""),"",NETWORKDAYS(F332,P332,Lists!$F$5:$F$40)-1)</f>
        <v/>
      </c>
      <c r="W332" s="18" t="str">
        <f aca="false">IF(V332="","",IF(V332=0,"Same day","Overnight"))</f>
        <v/>
      </c>
      <c r="X332" s="18" t="str">
        <f aca="false">IF(OR(E332="",F332=""),"",IF(AND(E332&gt;=F332,OR(P332="",E332&lt;=P332)),"Yes","No"))</f>
        <v/>
      </c>
      <c r="Y332" s="20" t="str">
        <f aca="false">IF(A332="","",N(G332)-N(L332)-N(N332))</f>
        <v/>
      </c>
      <c r="Z332" s="21" t="str">
        <f aca="false">IF(OR(G332="",H332="",I332=""),"",ABS(H332-I332)*G332)</f>
        <v/>
      </c>
      <c r="AA332" s="22" t="str">
        <f aca="false">IF(OR(J332="",N(Z332)=0),"",ABS(J332-H332)/ABS(H332-I332))</f>
        <v/>
      </c>
      <c r="AB332" s="23" t="str">
        <f aca="false">IF(U332&lt;&gt;"Closed","",(N(L332)*N(M332)+N(N332)*N(O332)+Y332*Q332)/G332)</f>
        <v/>
      </c>
      <c r="AC332" s="24" t="str">
        <f aca="false">IF(U332&lt;&gt;"Closed","",IF($B332="Short",-1,1)*((N(M332)-H332)*N(L332)+(N(O332)-H332)*N(N332)+(Q332-H332)*Y332)-N(R332))</f>
        <v/>
      </c>
      <c r="AD332" s="25" t="str">
        <f aca="false">IF(OR(AC332="",N(Z332)=0),"",AC332/Z332)</f>
        <v/>
      </c>
      <c r="AE332" s="25" t="str">
        <f aca="false">IF(OR(S332="",N(Z332)=0),"",IF($B332="Short",-1,1)*(S332-H332)*G332/Z332)</f>
        <v/>
      </c>
      <c r="AF332" s="25" t="str">
        <f aca="false">IF(OR(T332="",N(Z332)=0),"",IF($B332="Short",-1,1)*(T332-H332)*G332/Z332)</f>
        <v/>
      </c>
      <c r="AG332" s="21" t="str">
        <f aca="false">IF(U332&lt;&gt;"Open","",Y332*MAX(0,IF($B332="Short",-1,1)*(H332-IF(K332="",I332,K332))))</f>
        <v/>
      </c>
      <c r="AH332" s="26" t="str">
        <f aca="false">IF(U332&lt;&gt;"Closed","",DATE(YEAR(P332),MONTH(P332),1))</f>
        <v/>
      </c>
      <c r="AI332" s="19" t="str">
        <f aca="false">IF(U332&lt;&gt;"Closed","",COUNTIFS($U$7:$U$506,"Closed",$P$7:$P$506,"&lt;"&amp;P332)+COUNTIFS($U$7:U332,"Closed",$P$7:P332,P332))</f>
        <v/>
      </c>
    </row>
    <row r="333" customFormat="false" ht="15" hidden="false" customHeight="false" outlineLevel="0" collapsed="false">
      <c r="A333" s="13"/>
      <c r="B333" s="48"/>
      <c r="C333" s="48"/>
      <c r="D333" s="48"/>
      <c r="E333" s="15"/>
      <c r="F333" s="15"/>
      <c r="G333" s="16"/>
      <c r="H333" s="17"/>
      <c r="I333" s="17"/>
      <c r="J333" s="17"/>
      <c r="K333" s="17"/>
      <c r="L333" s="16"/>
      <c r="M333" s="17"/>
      <c r="N333" s="16"/>
      <c r="O333" s="17"/>
      <c r="P333" s="15"/>
      <c r="Q333" s="17"/>
      <c r="R333" s="17"/>
      <c r="S333" s="17"/>
      <c r="T333" s="17"/>
      <c r="U333" s="18" t="str">
        <f aca="false">IF(A333="","",IF(N(G333)-N(L333)-N(N333)&lt;0,"Check shares",IF(AND(P333&lt;&gt;"",Q333&lt;&gt;""),"Closed","Open")))</f>
        <v/>
      </c>
      <c r="V333" s="19" t="str">
        <f aca="false">IF(OR(F333="",P333=""),"",NETWORKDAYS(F333,P333,Lists!$F$5:$F$40)-1)</f>
        <v/>
      </c>
      <c r="W333" s="18" t="str">
        <f aca="false">IF(V333="","",IF(V333=0,"Same day","Overnight"))</f>
        <v/>
      </c>
      <c r="X333" s="18" t="str">
        <f aca="false">IF(OR(E333="",F333=""),"",IF(AND(E333&gt;=F333,OR(P333="",E333&lt;=P333)),"Yes","No"))</f>
        <v/>
      </c>
      <c r="Y333" s="20" t="str">
        <f aca="false">IF(A333="","",N(G333)-N(L333)-N(N333))</f>
        <v/>
      </c>
      <c r="Z333" s="21" t="str">
        <f aca="false">IF(OR(G333="",H333="",I333=""),"",ABS(H333-I333)*G333)</f>
        <v/>
      </c>
      <c r="AA333" s="22" t="str">
        <f aca="false">IF(OR(J333="",N(Z333)=0),"",ABS(J333-H333)/ABS(H333-I333))</f>
        <v/>
      </c>
      <c r="AB333" s="23" t="str">
        <f aca="false">IF(U333&lt;&gt;"Closed","",(N(L333)*N(M333)+N(N333)*N(O333)+Y333*Q333)/G333)</f>
        <v/>
      </c>
      <c r="AC333" s="24" t="str">
        <f aca="false">IF(U333&lt;&gt;"Closed","",IF($B333="Short",-1,1)*((N(M333)-H333)*N(L333)+(N(O333)-H333)*N(N333)+(Q333-H333)*Y333)-N(R333))</f>
        <v/>
      </c>
      <c r="AD333" s="25" t="str">
        <f aca="false">IF(OR(AC333="",N(Z333)=0),"",AC333/Z333)</f>
        <v/>
      </c>
      <c r="AE333" s="25" t="str">
        <f aca="false">IF(OR(S333="",N(Z333)=0),"",IF($B333="Short",-1,1)*(S333-H333)*G333/Z333)</f>
        <v/>
      </c>
      <c r="AF333" s="25" t="str">
        <f aca="false">IF(OR(T333="",N(Z333)=0),"",IF($B333="Short",-1,1)*(T333-H333)*G333/Z333)</f>
        <v/>
      </c>
      <c r="AG333" s="21" t="str">
        <f aca="false">IF(U333&lt;&gt;"Open","",Y333*MAX(0,IF($B333="Short",-1,1)*(H333-IF(K333="",I333,K333))))</f>
        <v/>
      </c>
      <c r="AH333" s="26" t="str">
        <f aca="false">IF(U333&lt;&gt;"Closed","",DATE(YEAR(P333),MONTH(P333),1))</f>
        <v/>
      </c>
      <c r="AI333" s="19" t="str">
        <f aca="false">IF(U333&lt;&gt;"Closed","",COUNTIFS($U$7:$U$506,"Closed",$P$7:$P$506,"&lt;"&amp;P333)+COUNTIFS($U$7:U333,"Closed",$P$7:P333,P333))</f>
        <v/>
      </c>
    </row>
    <row r="334" customFormat="false" ht="15" hidden="false" customHeight="false" outlineLevel="0" collapsed="false">
      <c r="A334" s="13"/>
      <c r="B334" s="48"/>
      <c r="C334" s="48"/>
      <c r="D334" s="48"/>
      <c r="E334" s="15"/>
      <c r="F334" s="15"/>
      <c r="G334" s="16"/>
      <c r="H334" s="17"/>
      <c r="I334" s="17"/>
      <c r="J334" s="17"/>
      <c r="K334" s="17"/>
      <c r="L334" s="16"/>
      <c r="M334" s="17"/>
      <c r="N334" s="16"/>
      <c r="O334" s="17"/>
      <c r="P334" s="15"/>
      <c r="Q334" s="17"/>
      <c r="R334" s="17"/>
      <c r="S334" s="17"/>
      <c r="T334" s="17"/>
      <c r="U334" s="18" t="str">
        <f aca="false">IF(A334="","",IF(N(G334)-N(L334)-N(N334)&lt;0,"Check shares",IF(AND(P334&lt;&gt;"",Q334&lt;&gt;""),"Closed","Open")))</f>
        <v/>
      </c>
      <c r="V334" s="19" t="str">
        <f aca="false">IF(OR(F334="",P334=""),"",NETWORKDAYS(F334,P334,Lists!$F$5:$F$40)-1)</f>
        <v/>
      </c>
      <c r="W334" s="18" t="str">
        <f aca="false">IF(V334="","",IF(V334=0,"Same day","Overnight"))</f>
        <v/>
      </c>
      <c r="X334" s="18" t="str">
        <f aca="false">IF(OR(E334="",F334=""),"",IF(AND(E334&gt;=F334,OR(P334="",E334&lt;=P334)),"Yes","No"))</f>
        <v/>
      </c>
      <c r="Y334" s="20" t="str">
        <f aca="false">IF(A334="","",N(G334)-N(L334)-N(N334))</f>
        <v/>
      </c>
      <c r="Z334" s="21" t="str">
        <f aca="false">IF(OR(G334="",H334="",I334=""),"",ABS(H334-I334)*G334)</f>
        <v/>
      </c>
      <c r="AA334" s="22" t="str">
        <f aca="false">IF(OR(J334="",N(Z334)=0),"",ABS(J334-H334)/ABS(H334-I334))</f>
        <v/>
      </c>
      <c r="AB334" s="23" t="str">
        <f aca="false">IF(U334&lt;&gt;"Closed","",(N(L334)*N(M334)+N(N334)*N(O334)+Y334*Q334)/G334)</f>
        <v/>
      </c>
      <c r="AC334" s="24" t="str">
        <f aca="false">IF(U334&lt;&gt;"Closed","",IF($B334="Short",-1,1)*((N(M334)-H334)*N(L334)+(N(O334)-H334)*N(N334)+(Q334-H334)*Y334)-N(R334))</f>
        <v/>
      </c>
      <c r="AD334" s="25" t="str">
        <f aca="false">IF(OR(AC334="",N(Z334)=0),"",AC334/Z334)</f>
        <v/>
      </c>
      <c r="AE334" s="25" t="str">
        <f aca="false">IF(OR(S334="",N(Z334)=0),"",IF($B334="Short",-1,1)*(S334-H334)*G334/Z334)</f>
        <v/>
      </c>
      <c r="AF334" s="25" t="str">
        <f aca="false">IF(OR(T334="",N(Z334)=0),"",IF($B334="Short",-1,1)*(T334-H334)*G334/Z334)</f>
        <v/>
      </c>
      <c r="AG334" s="21" t="str">
        <f aca="false">IF(U334&lt;&gt;"Open","",Y334*MAX(0,IF($B334="Short",-1,1)*(H334-IF(K334="",I334,K334))))</f>
        <v/>
      </c>
      <c r="AH334" s="26" t="str">
        <f aca="false">IF(U334&lt;&gt;"Closed","",DATE(YEAR(P334),MONTH(P334),1))</f>
        <v/>
      </c>
      <c r="AI334" s="19" t="str">
        <f aca="false">IF(U334&lt;&gt;"Closed","",COUNTIFS($U$7:$U$506,"Closed",$P$7:$P$506,"&lt;"&amp;P334)+COUNTIFS($U$7:U334,"Closed",$P$7:P334,P334))</f>
        <v/>
      </c>
    </row>
    <row r="335" customFormat="false" ht="15" hidden="false" customHeight="false" outlineLevel="0" collapsed="false">
      <c r="A335" s="13"/>
      <c r="B335" s="48"/>
      <c r="C335" s="48"/>
      <c r="D335" s="48"/>
      <c r="E335" s="15"/>
      <c r="F335" s="15"/>
      <c r="G335" s="16"/>
      <c r="H335" s="17"/>
      <c r="I335" s="17"/>
      <c r="J335" s="17"/>
      <c r="K335" s="17"/>
      <c r="L335" s="16"/>
      <c r="M335" s="17"/>
      <c r="N335" s="16"/>
      <c r="O335" s="17"/>
      <c r="P335" s="15"/>
      <c r="Q335" s="17"/>
      <c r="R335" s="17"/>
      <c r="S335" s="17"/>
      <c r="T335" s="17"/>
      <c r="U335" s="18" t="str">
        <f aca="false">IF(A335="","",IF(N(G335)-N(L335)-N(N335)&lt;0,"Check shares",IF(AND(P335&lt;&gt;"",Q335&lt;&gt;""),"Closed","Open")))</f>
        <v/>
      </c>
      <c r="V335" s="19" t="str">
        <f aca="false">IF(OR(F335="",P335=""),"",NETWORKDAYS(F335,P335,Lists!$F$5:$F$40)-1)</f>
        <v/>
      </c>
      <c r="W335" s="18" t="str">
        <f aca="false">IF(V335="","",IF(V335=0,"Same day","Overnight"))</f>
        <v/>
      </c>
      <c r="X335" s="18" t="str">
        <f aca="false">IF(OR(E335="",F335=""),"",IF(AND(E335&gt;=F335,OR(P335="",E335&lt;=P335)),"Yes","No"))</f>
        <v/>
      </c>
      <c r="Y335" s="20" t="str">
        <f aca="false">IF(A335="","",N(G335)-N(L335)-N(N335))</f>
        <v/>
      </c>
      <c r="Z335" s="21" t="str">
        <f aca="false">IF(OR(G335="",H335="",I335=""),"",ABS(H335-I335)*G335)</f>
        <v/>
      </c>
      <c r="AA335" s="22" t="str">
        <f aca="false">IF(OR(J335="",N(Z335)=0),"",ABS(J335-H335)/ABS(H335-I335))</f>
        <v/>
      </c>
      <c r="AB335" s="23" t="str">
        <f aca="false">IF(U335&lt;&gt;"Closed","",(N(L335)*N(M335)+N(N335)*N(O335)+Y335*Q335)/G335)</f>
        <v/>
      </c>
      <c r="AC335" s="24" t="str">
        <f aca="false">IF(U335&lt;&gt;"Closed","",IF($B335="Short",-1,1)*((N(M335)-H335)*N(L335)+(N(O335)-H335)*N(N335)+(Q335-H335)*Y335)-N(R335))</f>
        <v/>
      </c>
      <c r="AD335" s="25" t="str">
        <f aca="false">IF(OR(AC335="",N(Z335)=0),"",AC335/Z335)</f>
        <v/>
      </c>
      <c r="AE335" s="25" t="str">
        <f aca="false">IF(OR(S335="",N(Z335)=0),"",IF($B335="Short",-1,1)*(S335-H335)*G335/Z335)</f>
        <v/>
      </c>
      <c r="AF335" s="25" t="str">
        <f aca="false">IF(OR(T335="",N(Z335)=0),"",IF($B335="Short",-1,1)*(T335-H335)*G335/Z335)</f>
        <v/>
      </c>
      <c r="AG335" s="21" t="str">
        <f aca="false">IF(U335&lt;&gt;"Open","",Y335*MAX(0,IF($B335="Short",-1,1)*(H335-IF(K335="",I335,K335))))</f>
        <v/>
      </c>
      <c r="AH335" s="26" t="str">
        <f aca="false">IF(U335&lt;&gt;"Closed","",DATE(YEAR(P335),MONTH(P335),1))</f>
        <v/>
      </c>
      <c r="AI335" s="19" t="str">
        <f aca="false">IF(U335&lt;&gt;"Closed","",COUNTIFS($U$7:$U$506,"Closed",$P$7:$P$506,"&lt;"&amp;P335)+COUNTIFS($U$7:U335,"Closed",$P$7:P335,P335))</f>
        <v/>
      </c>
    </row>
    <row r="336" customFormat="false" ht="15" hidden="false" customHeight="false" outlineLevel="0" collapsed="false">
      <c r="A336" s="13"/>
      <c r="B336" s="48"/>
      <c r="C336" s="48"/>
      <c r="D336" s="48"/>
      <c r="E336" s="15"/>
      <c r="F336" s="15"/>
      <c r="G336" s="16"/>
      <c r="H336" s="17"/>
      <c r="I336" s="17"/>
      <c r="J336" s="17"/>
      <c r="K336" s="17"/>
      <c r="L336" s="16"/>
      <c r="M336" s="17"/>
      <c r="N336" s="16"/>
      <c r="O336" s="17"/>
      <c r="P336" s="15"/>
      <c r="Q336" s="17"/>
      <c r="R336" s="17"/>
      <c r="S336" s="17"/>
      <c r="T336" s="17"/>
      <c r="U336" s="18" t="str">
        <f aca="false">IF(A336="","",IF(N(G336)-N(L336)-N(N336)&lt;0,"Check shares",IF(AND(P336&lt;&gt;"",Q336&lt;&gt;""),"Closed","Open")))</f>
        <v/>
      </c>
      <c r="V336" s="19" t="str">
        <f aca="false">IF(OR(F336="",P336=""),"",NETWORKDAYS(F336,P336,Lists!$F$5:$F$40)-1)</f>
        <v/>
      </c>
      <c r="W336" s="18" t="str">
        <f aca="false">IF(V336="","",IF(V336=0,"Same day","Overnight"))</f>
        <v/>
      </c>
      <c r="X336" s="18" t="str">
        <f aca="false">IF(OR(E336="",F336=""),"",IF(AND(E336&gt;=F336,OR(P336="",E336&lt;=P336)),"Yes","No"))</f>
        <v/>
      </c>
      <c r="Y336" s="20" t="str">
        <f aca="false">IF(A336="","",N(G336)-N(L336)-N(N336))</f>
        <v/>
      </c>
      <c r="Z336" s="21" t="str">
        <f aca="false">IF(OR(G336="",H336="",I336=""),"",ABS(H336-I336)*G336)</f>
        <v/>
      </c>
      <c r="AA336" s="22" t="str">
        <f aca="false">IF(OR(J336="",N(Z336)=0),"",ABS(J336-H336)/ABS(H336-I336))</f>
        <v/>
      </c>
      <c r="AB336" s="23" t="str">
        <f aca="false">IF(U336&lt;&gt;"Closed","",(N(L336)*N(M336)+N(N336)*N(O336)+Y336*Q336)/G336)</f>
        <v/>
      </c>
      <c r="AC336" s="24" t="str">
        <f aca="false">IF(U336&lt;&gt;"Closed","",IF($B336="Short",-1,1)*((N(M336)-H336)*N(L336)+(N(O336)-H336)*N(N336)+(Q336-H336)*Y336)-N(R336))</f>
        <v/>
      </c>
      <c r="AD336" s="25" t="str">
        <f aca="false">IF(OR(AC336="",N(Z336)=0),"",AC336/Z336)</f>
        <v/>
      </c>
      <c r="AE336" s="25" t="str">
        <f aca="false">IF(OR(S336="",N(Z336)=0),"",IF($B336="Short",-1,1)*(S336-H336)*G336/Z336)</f>
        <v/>
      </c>
      <c r="AF336" s="25" t="str">
        <f aca="false">IF(OR(T336="",N(Z336)=0),"",IF($B336="Short",-1,1)*(T336-H336)*G336/Z336)</f>
        <v/>
      </c>
      <c r="AG336" s="21" t="str">
        <f aca="false">IF(U336&lt;&gt;"Open","",Y336*MAX(0,IF($B336="Short",-1,1)*(H336-IF(K336="",I336,K336))))</f>
        <v/>
      </c>
      <c r="AH336" s="26" t="str">
        <f aca="false">IF(U336&lt;&gt;"Closed","",DATE(YEAR(P336),MONTH(P336),1))</f>
        <v/>
      </c>
      <c r="AI336" s="19" t="str">
        <f aca="false">IF(U336&lt;&gt;"Closed","",COUNTIFS($U$7:$U$506,"Closed",$P$7:$P$506,"&lt;"&amp;P336)+COUNTIFS($U$7:U336,"Closed",$P$7:P336,P336))</f>
        <v/>
      </c>
    </row>
    <row r="337" customFormat="false" ht="15" hidden="false" customHeight="false" outlineLevel="0" collapsed="false">
      <c r="A337" s="13"/>
      <c r="B337" s="48"/>
      <c r="C337" s="48"/>
      <c r="D337" s="48"/>
      <c r="E337" s="15"/>
      <c r="F337" s="15"/>
      <c r="G337" s="16"/>
      <c r="H337" s="17"/>
      <c r="I337" s="17"/>
      <c r="J337" s="17"/>
      <c r="K337" s="17"/>
      <c r="L337" s="16"/>
      <c r="M337" s="17"/>
      <c r="N337" s="16"/>
      <c r="O337" s="17"/>
      <c r="P337" s="15"/>
      <c r="Q337" s="17"/>
      <c r="R337" s="17"/>
      <c r="S337" s="17"/>
      <c r="T337" s="17"/>
      <c r="U337" s="18" t="str">
        <f aca="false">IF(A337="","",IF(N(G337)-N(L337)-N(N337)&lt;0,"Check shares",IF(AND(P337&lt;&gt;"",Q337&lt;&gt;""),"Closed","Open")))</f>
        <v/>
      </c>
      <c r="V337" s="19" t="str">
        <f aca="false">IF(OR(F337="",P337=""),"",NETWORKDAYS(F337,P337,Lists!$F$5:$F$40)-1)</f>
        <v/>
      </c>
      <c r="W337" s="18" t="str">
        <f aca="false">IF(V337="","",IF(V337=0,"Same day","Overnight"))</f>
        <v/>
      </c>
      <c r="X337" s="18" t="str">
        <f aca="false">IF(OR(E337="",F337=""),"",IF(AND(E337&gt;=F337,OR(P337="",E337&lt;=P337)),"Yes","No"))</f>
        <v/>
      </c>
      <c r="Y337" s="20" t="str">
        <f aca="false">IF(A337="","",N(G337)-N(L337)-N(N337))</f>
        <v/>
      </c>
      <c r="Z337" s="21" t="str">
        <f aca="false">IF(OR(G337="",H337="",I337=""),"",ABS(H337-I337)*G337)</f>
        <v/>
      </c>
      <c r="AA337" s="22" t="str">
        <f aca="false">IF(OR(J337="",N(Z337)=0),"",ABS(J337-H337)/ABS(H337-I337))</f>
        <v/>
      </c>
      <c r="AB337" s="23" t="str">
        <f aca="false">IF(U337&lt;&gt;"Closed","",(N(L337)*N(M337)+N(N337)*N(O337)+Y337*Q337)/G337)</f>
        <v/>
      </c>
      <c r="AC337" s="24" t="str">
        <f aca="false">IF(U337&lt;&gt;"Closed","",IF($B337="Short",-1,1)*((N(M337)-H337)*N(L337)+(N(O337)-H337)*N(N337)+(Q337-H337)*Y337)-N(R337))</f>
        <v/>
      </c>
      <c r="AD337" s="25" t="str">
        <f aca="false">IF(OR(AC337="",N(Z337)=0),"",AC337/Z337)</f>
        <v/>
      </c>
      <c r="AE337" s="25" t="str">
        <f aca="false">IF(OR(S337="",N(Z337)=0),"",IF($B337="Short",-1,1)*(S337-H337)*G337/Z337)</f>
        <v/>
      </c>
      <c r="AF337" s="25" t="str">
        <f aca="false">IF(OR(T337="",N(Z337)=0),"",IF($B337="Short",-1,1)*(T337-H337)*G337/Z337)</f>
        <v/>
      </c>
      <c r="AG337" s="21" t="str">
        <f aca="false">IF(U337&lt;&gt;"Open","",Y337*MAX(0,IF($B337="Short",-1,1)*(H337-IF(K337="",I337,K337))))</f>
        <v/>
      </c>
      <c r="AH337" s="26" t="str">
        <f aca="false">IF(U337&lt;&gt;"Closed","",DATE(YEAR(P337),MONTH(P337),1))</f>
        <v/>
      </c>
      <c r="AI337" s="19" t="str">
        <f aca="false">IF(U337&lt;&gt;"Closed","",COUNTIFS($U$7:$U$506,"Closed",$P$7:$P$506,"&lt;"&amp;P337)+COUNTIFS($U$7:U337,"Closed",$P$7:P337,P337))</f>
        <v/>
      </c>
    </row>
    <row r="338" customFormat="false" ht="15" hidden="false" customHeight="false" outlineLevel="0" collapsed="false">
      <c r="A338" s="13"/>
      <c r="B338" s="48"/>
      <c r="C338" s="48"/>
      <c r="D338" s="48"/>
      <c r="E338" s="15"/>
      <c r="F338" s="15"/>
      <c r="G338" s="16"/>
      <c r="H338" s="17"/>
      <c r="I338" s="17"/>
      <c r="J338" s="17"/>
      <c r="K338" s="17"/>
      <c r="L338" s="16"/>
      <c r="M338" s="17"/>
      <c r="N338" s="16"/>
      <c r="O338" s="17"/>
      <c r="P338" s="15"/>
      <c r="Q338" s="17"/>
      <c r="R338" s="17"/>
      <c r="S338" s="17"/>
      <c r="T338" s="17"/>
      <c r="U338" s="18" t="str">
        <f aca="false">IF(A338="","",IF(N(G338)-N(L338)-N(N338)&lt;0,"Check shares",IF(AND(P338&lt;&gt;"",Q338&lt;&gt;""),"Closed","Open")))</f>
        <v/>
      </c>
      <c r="V338" s="19" t="str">
        <f aca="false">IF(OR(F338="",P338=""),"",NETWORKDAYS(F338,P338,Lists!$F$5:$F$40)-1)</f>
        <v/>
      </c>
      <c r="W338" s="18" t="str">
        <f aca="false">IF(V338="","",IF(V338=0,"Same day","Overnight"))</f>
        <v/>
      </c>
      <c r="X338" s="18" t="str">
        <f aca="false">IF(OR(E338="",F338=""),"",IF(AND(E338&gt;=F338,OR(P338="",E338&lt;=P338)),"Yes","No"))</f>
        <v/>
      </c>
      <c r="Y338" s="20" t="str">
        <f aca="false">IF(A338="","",N(G338)-N(L338)-N(N338))</f>
        <v/>
      </c>
      <c r="Z338" s="21" t="str">
        <f aca="false">IF(OR(G338="",H338="",I338=""),"",ABS(H338-I338)*G338)</f>
        <v/>
      </c>
      <c r="AA338" s="22" t="str">
        <f aca="false">IF(OR(J338="",N(Z338)=0),"",ABS(J338-H338)/ABS(H338-I338))</f>
        <v/>
      </c>
      <c r="AB338" s="23" t="str">
        <f aca="false">IF(U338&lt;&gt;"Closed","",(N(L338)*N(M338)+N(N338)*N(O338)+Y338*Q338)/G338)</f>
        <v/>
      </c>
      <c r="AC338" s="24" t="str">
        <f aca="false">IF(U338&lt;&gt;"Closed","",IF($B338="Short",-1,1)*((N(M338)-H338)*N(L338)+(N(O338)-H338)*N(N338)+(Q338-H338)*Y338)-N(R338))</f>
        <v/>
      </c>
      <c r="AD338" s="25" t="str">
        <f aca="false">IF(OR(AC338="",N(Z338)=0),"",AC338/Z338)</f>
        <v/>
      </c>
      <c r="AE338" s="25" t="str">
        <f aca="false">IF(OR(S338="",N(Z338)=0),"",IF($B338="Short",-1,1)*(S338-H338)*G338/Z338)</f>
        <v/>
      </c>
      <c r="AF338" s="25" t="str">
        <f aca="false">IF(OR(T338="",N(Z338)=0),"",IF($B338="Short",-1,1)*(T338-H338)*G338/Z338)</f>
        <v/>
      </c>
      <c r="AG338" s="21" t="str">
        <f aca="false">IF(U338&lt;&gt;"Open","",Y338*MAX(0,IF($B338="Short",-1,1)*(H338-IF(K338="",I338,K338))))</f>
        <v/>
      </c>
      <c r="AH338" s="26" t="str">
        <f aca="false">IF(U338&lt;&gt;"Closed","",DATE(YEAR(P338),MONTH(P338),1))</f>
        <v/>
      </c>
      <c r="AI338" s="19" t="str">
        <f aca="false">IF(U338&lt;&gt;"Closed","",COUNTIFS($U$7:$U$506,"Closed",$P$7:$P$506,"&lt;"&amp;P338)+COUNTIFS($U$7:U338,"Closed",$P$7:P338,P338))</f>
        <v/>
      </c>
    </row>
    <row r="339" customFormat="false" ht="15" hidden="false" customHeight="false" outlineLevel="0" collapsed="false">
      <c r="A339" s="13"/>
      <c r="B339" s="48"/>
      <c r="C339" s="48"/>
      <c r="D339" s="48"/>
      <c r="E339" s="15"/>
      <c r="F339" s="15"/>
      <c r="G339" s="16"/>
      <c r="H339" s="17"/>
      <c r="I339" s="17"/>
      <c r="J339" s="17"/>
      <c r="K339" s="17"/>
      <c r="L339" s="16"/>
      <c r="M339" s="17"/>
      <c r="N339" s="16"/>
      <c r="O339" s="17"/>
      <c r="P339" s="15"/>
      <c r="Q339" s="17"/>
      <c r="R339" s="17"/>
      <c r="S339" s="17"/>
      <c r="T339" s="17"/>
      <c r="U339" s="18" t="str">
        <f aca="false">IF(A339="","",IF(N(G339)-N(L339)-N(N339)&lt;0,"Check shares",IF(AND(P339&lt;&gt;"",Q339&lt;&gt;""),"Closed","Open")))</f>
        <v/>
      </c>
      <c r="V339" s="19" t="str">
        <f aca="false">IF(OR(F339="",P339=""),"",NETWORKDAYS(F339,P339,Lists!$F$5:$F$40)-1)</f>
        <v/>
      </c>
      <c r="W339" s="18" t="str">
        <f aca="false">IF(V339="","",IF(V339=0,"Same day","Overnight"))</f>
        <v/>
      </c>
      <c r="X339" s="18" t="str">
        <f aca="false">IF(OR(E339="",F339=""),"",IF(AND(E339&gt;=F339,OR(P339="",E339&lt;=P339)),"Yes","No"))</f>
        <v/>
      </c>
      <c r="Y339" s="20" t="str">
        <f aca="false">IF(A339="","",N(G339)-N(L339)-N(N339))</f>
        <v/>
      </c>
      <c r="Z339" s="21" t="str">
        <f aca="false">IF(OR(G339="",H339="",I339=""),"",ABS(H339-I339)*G339)</f>
        <v/>
      </c>
      <c r="AA339" s="22" t="str">
        <f aca="false">IF(OR(J339="",N(Z339)=0),"",ABS(J339-H339)/ABS(H339-I339))</f>
        <v/>
      </c>
      <c r="AB339" s="23" t="str">
        <f aca="false">IF(U339&lt;&gt;"Closed","",(N(L339)*N(M339)+N(N339)*N(O339)+Y339*Q339)/G339)</f>
        <v/>
      </c>
      <c r="AC339" s="24" t="str">
        <f aca="false">IF(U339&lt;&gt;"Closed","",IF($B339="Short",-1,1)*((N(M339)-H339)*N(L339)+(N(O339)-H339)*N(N339)+(Q339-H339)*Y339)-N(R339))</f>
        <v/>
      </c>
      <c r="AD339" s="25" t="str">
        <f aca="false">IF(OR(AC339="",N(Z339)=0),"",AC339/Z339)</f>
        <v/>
      </c>
      <c r="AE339" s="25" t="str">
        <f aca="false">IF(OR(S339="",N(Z339)=0),"",IF($B339="Short",-1,1)*(S339-H339)*G339/Z339)</f>
        <v/>
      </c>
      <c r="AF339" s="25" t="str">
        <f aca="false">IF(OR(T339="",N(Z339)=0),"",IF($B339="Short",-1,1)*(T339-H339)*G339/Z339)</f>
        <v/>
      </c>
      <c r="AG339" s="21" t="str">
        <f aca="false">IF(U339&lt;&gt;"Open","",Y339*MAX(0,IF($B339="Short",-1,1)*(H339-IF(K339="",I339,K339))))</f>
        <v/>
      </c>
      <c r="AH339" s="26" t="str">
        <f aca="false">IF(U339&lt;&gt;"Closed","",DATE(YEAR(P339),MONTH(P339),1))</f>
        <v/>
      </c>
      <c r="AI339" s="19" t="str">
        <f aca="false">IF(U339&lt;&gt;"Closed","",COUNTIFS($U$7:$U$506,"Closed",$P$7:$P$506,"&lt;"&amp;P339)+COUNTIFS($U$7:U339,"Closed",$P$7:P339,P339))</f>
        <v/>
      </c>
    </row>
    <row r="340" customFormat="false" ht="15" hidden="false" customHeight="false" outlineLevel="0" collapsed="false">
      <c r="A340" s="13"/>
      <c r="B340" s="48"/>
      <c r="C340" s="48"/>
      <c r="D340" s="48"/>
      <c r="E340" s="15"/>
      <c r="F340" s="15"/>
      <c r="G340" s="16"/>
      <c r="H340" s="17"/>
      <c r="I340" s="17"/>
      <c r="J340" s="17"/>
      <c r="K340" s="17"/>
      <c r="L340" s="16"/>
      <c r="M340" s="17"/>
      <c r="N340" s="16"/>
      <c r="O340" s="17"/>
      <c r="P340" s="15"/>
      <c r="Q340" s="17"/>
      <c r="R340" s="17"/>
      <c r="S340" s="17"/>
      <c r="T340" s="17"/>
      <c r="U340" s="18" t="str">
        <f aca="false">IF(A340="","",IF(N(G340)-N(L340)-N(N340)&lt;0,"Check shares",IF(AND(P340&lt;&gt;"",Q340&lt;&gt;""),"Closed","Open")))</f>
        <v/>
      </c>
      <c r="V340" s="19" t="str">
        <f aca="false">IF(OR(F340="",P340=""),"",NETWORKDAYS(F340,P340,Lists!$F$5:$F$40)-1)</f>
        <v/>
      </c>
      <c r="W340" s="18" t="str">
        <f aca="false">IF(V340="","",IF(V340=0,"Same day","Overnight"))</f>
        <v/>
      </c>
      <c r="X340" s="18" t="str">
        <f aca="false">IF(OR(E340="",F340=""),"",IF(AND(E340&gt;=F340,OR(P340="",E340&lt;=P340)),"Yes","No"))</f>
        <v/>
      </c>
      <c r="Y340" s="20" t="str">
        <f aca="false">IF(A340="","",N(G340)-N(L340)-N(N340))</f>
        <v/>
      </c>
      <c r="Z340" s="21" t="str">
        <f aca="false">IF(OR(G340="",H340="",I340=""),"",ABS(H340-I340)*G340)</f>
        <v/>
      </c>
      <c r="AA340" s="22" t="str">
        <f aca="false">IF(OR(J340="",N(Z340)=0),"",ABS(J340-H340)/ABS(H340-I340))</f>
        <v/>
      </c>
      <c r="AB340" s="23" t="str">
        <f aca="false">IF(U340&lt;&gt;"Closed","",(N(L340)*N(M340)+N(N340)*N(O340)+Y340*Q340)/G340)</f>
        <v/>
      </c>
      <c r="AC340" s="24" t="str">
        <f aca="false">IF(U340&lt;&gt;"Closed","",IF($B340="Short",-1,1)*((N(M340)-H340)*N(L340)+(N(O340)-H340)*N(N340)+(Q340-H340)*Y340)-N(R340))</f>
        <v/>
      </c>
      <c r="AD340" s="25" t="str">
        <f aca="false">IF(OR(AC340="",N(Z340)=0),"",AC340/Z340)</f>
        <v/>
      </c>
      <c r="AE340" s="25" t="str">
        <f aca="false">IF(OR(S340="",N(Z340)=0),"",IF($B340="Short",-1,1)*(S340-H340)*G340/Z340)</f>
        <v/>
      </c>
      <c r="AF340" s="25" t="str">
        <f aca="false">IF(OR(T340="",N(Z340)=0),"",IF($B340="Short",-1,1)*(T340-H340)*G340/Z340)</f>
        <v/>
      </c>
      <c r="AG340" s="21" t="str">
        <f aca="false">IF(U340&lt;&gt;"Open","",Y340*MAX(0,IF($B340="Short",-1,1)*(H340-IF(K340="",I340,K340))))</f>
        <v/>
      </c>
      <c r="AH340" s="26" t="str">
        <f aca="false">IF(U340&lt;&gt;"Closed","",DATE(YEAR(P340),MONTH(P340),1))</f>
        <v/>
      </c>
      <c r="AI340" s="19" t="str">
        <f aca="false">IF(U340&lt;&gt;"Closed","",COUNTIFS($U$7:$U$506,"Closed",$P$7:$P$506,"&lt;"&amp;P340)+COUNTIFS($U$7:U340,"Closed",$P$7:P340,P340))</f>
        <v/>
      </c>
    </row>
    <row r="341" customFormat="false" ht="15" hidden="false" customHeight="false" outlineLevel="0" collapsed="false">
      <c r="A341" s="13"/>
      <c r="B341" s="48"/>
      <c r="C341" s="48"/>
      <c r="D341" s="48"/>
      <c r="E341" s="15"/>
      <c r="F341" s="15"/>
      <c r="G341" s="16"/>
      <c r="H341" s="17"/>
      <c r="I341" s="17"/>
      <c r="J341" s="17"/>
      <c r="K341" s="17"/>
      <c r="L341" s="16"/>
      <c r="M341" s="17"/>
      <c r="N341" s="16"/>
      <c r="O341" s="17"/>
      <c r="P341" s="15"/>
      <c r="Q341" s="17"/>
      <c r="R341" s="17"/>
      <c r="S341" s="17"/>
      <c r="T341" s="17"/>
      <c r="U341" s="18" t="str">
        <f aca="false">IF(A341="","",IF(N(G341)-N(L341)-N(N341)&lt;0,"Check shares",IF(AND(P341&lt;&gt;"",Q341&lt;&gt;""),"Closed","Open")))</f>
        <v/>
      </c>
      <c r="V341" s="19" t="str">
        <f aca="false">IF(OR(F341="",P341=""),"",NETWORKDAYS(F341,P341,Lists!$F$5:$F$40)-1)</f>
        <v/>
      </c>
      <c r="W341" s="18" t="str">
        <f aca="false">IF(V341="","",IF(V341=0,"Same day","Overnight"))</f>
        <v/>
      </c>
      <c r="X341" s="18" t="str">
        <f aca="false">IF(OR(E341="",F341=""),"",IF(AND(E341&gt;=F341,OR(P341="",E341&lt;=P341)),"Yes","No"))</f>
        <v/>
      </c>
      <c r="Y341" s="20" t="str">
        <f aca="false">IF(A341="","",N(G341)-N(L341)-N(N341))</f>
        <v/>
      </c>
      <c r="Z341" s="21" t="str">
        <f aca="false">IF(OR(G341="",H341="",I341=""),"",ABS(H341-I341)*G341)</f>
        <v/>
      </c>
      <c r="AA341" s="22" t="str">
        <f aca="false">IF(OR(J341="",N(Z341)=0),"",ABS(J341-H341)/ABS(H341-I341))</f>
        <v/>
      </c>
      <c r="AB341" s="23" t="str">
        <f aca="false">IF(U341&lt;&gt;"Closed","",(N(L341)*N(M341)+N(N341)*N(O341)+Y341*Q341)/G341)</f>
        <v/>
      </c>
      <c r="AC341" s="24" t="str">
        <f aca="false">IF(U341&lt;&gt;"Closed","",IF($B341="Short",-1,1)*((N(M341)-H341)*N(L341)+(N(O341)-H341)*N(N341)+(Q341-H341)*Y341)-N(R341))</f>
        <v/>
      </c>
      <c r="AD341" s="25" t="str">
        <f aca="false">IF(OR(AC341="",N(Z341)=0),"",AC341/Z341)</f>
        <v/>
      </c>
      <c r="AE341" s="25" t="str">
        <f aca="false">IF(OR(S341="",N(Z341)=0),"",IF($B341="Short",-1,1)*(S341-H341)*G341/Z341)</f>
        <v/>
      </c>
      <c r="AF341" s="25" t="str">
        <f aca="false">IF(OR(T341="",N(Z341)=0),"",IF($B341="Short",-1,1)*(T341-H341)*G341/Z341)</f>
        <v/>
      </c>
      <c r="AG341" s="21" t="str">
        <f aca="false">IF(U341&lt;&gt;"Open","",Y341*MAX(0,IF($B341="Short",-1,1)*(H341-IF(K341="",I341,K341))))</f>
        <v/>
      </c>
      <c r="AH341" s="26" t="str">
        <f aca="false">IF(U341&lt;&gt;"Closed","",DATE(YEAR(P341),MONTH(P341),1))</f>
        <v/>
      </c>
      <c r="AI341" s="19" t="str">
        <f aca="false">IF(U341&lt;&gt;"Closed","",COUNTIFS($U$7:$U$506,"Closed",$P$7:$P$506,"&lt;"&amp;P341)+COUNTIFS($U$7:U341,"Closed",$P$7:P341,P341))</f>
        <v/>
      </c>
    </row>
    <row r="342" customFormat="false" ht="15" hidden="false" customHeight="false" outlineLevel="0" collapsed="false">
      <c r="A342" s="13"/>
      <c r="B342" s="48"/>
      <c r="C342" s="48"/>
      <c r="D342" s="48"/>
      <c r="E342" s="15"/>
      <c r="F342" s="15"/>
      <c r="G342" s="16"/>
      <c r="H342" s="17"/>
      <c r="I342" s="17"/>
      <c r="J342" s="17"/>
      <c r="K342" s="17"/>
      <c r="L342" s="16"/>
      <c r="M342" s="17"/>
      <c r="N342" s="16"/>
      <c r="O342" s="17"/>
      <c r="P342" s="15"/>
      <c r="Q342" s="17"/>
      <c r="R342" s="17"/>
      <c r="S342" s="17"/>
      <c r="T342" s="17"/>
      <c r="U342" s="18" t="str">
        <f aca="false">IF(A342="","",IF(N(G342)-N(L342)-N(N342)&lt;0,"Check shares",IF(AND(P342&lt;&gt;"",Q342&lt;&gt;""),"Closed","Open")))</f>
        <v/>
      </c>
      <c r="V342" s="19" t="str">
        <f aca="false">IF(OR(F342="",P342=""),"",NETWORKDAYS(F342,P342,Lists!$F$5:$F$40)-1)</f>
        <v/>
      </c>
      <c r="W342" s="18" t="str">
        <f aca="false">IF(V342="","",IF(V342=0,"Same day","Overnight"))</f>
        <v/>
      </c>
      <c r="X342" s="18" t="str">
        <f aca="false">IF(OR(E342="",F342=""),"",IF(AND(E342&gt;=F342,OR(P342="",E342&lt;=P342)),"Yes","No"))</f>
        <v/>
      </c>
      <c r="Y342" s="20" t="str">
        <f aca="false">IF(A342="","",N(G342)-N(L342)-N(N342))</f>
        <v/>
      </c>
      <c r="Z342" s="21" t="str">
        <f aca="false">IF(OR(G342="",H342="",I342=""),"",ABS(H342-I342)*G342)</f>
        <v/>
      </c>
      <c r="AA342" s="22" t="str">
        <f aca="false">IF(OR(J342="",N(Z342)=0),"",ABS(J342-H342)/ABS(H342-I342))</f>
        <v/>
      </c>
      <c r="AB342" s="23" t="str">
        <f aca="false">IF(U342&lt;&gt;"Closed","",(N(L342)*N(M342)+N(N342)*N(O342)+Y342*Q342)/G342)</f>
        <v/>
      </c>
      <c r="AC342" s="24" t="str">
        <f aca="false">IF(U342&lt;&gt;"Closed","",IF($B342="Short",-1,1)*((N(M342)-H342)*N(L342)+(N(O342)-H342)*N(N342)+(Q342-H342)*Y342)-N(R342))</f>
        <v/>
      </c>
      <c r="AD342" s="25" t="str">
        <f aca="false">IF(OR(AC342="",N(Z342)=0),"",AC342/Z342)</f>
        <v/>
      </c>
      <c r="AE342" s="25" t="str">
        <f aca="false">IF(OR(S342="",N(Z342)=0),"",IF($B342="Short",-1,1)*(S342-H342)*G342/Z342)</f>
        <v/>
      </c>
      <c r="AF342" s="25" t="str">
        <f aca="false">IF(OR(T342="",N(Z342)=0),"",IF($B342="Short",-1,1)*(T342-H342)*G342/Z342)</f>
        <v/>
      </c>
      <c r="AG342" s="21" t="str">
        <f aca="false">IF(U342&lt;&gt;"Open","",Y342*MAX(0,IF($B342="Short",-1,1)*(H342-IF(K342="",I342,K342))))</f>
        <v/>
      </c>
      <c r="AH342" s="26" t="str">
        <f aca="false">IF(U342&lt;&gt;"Closed","",DATE(YEAR(P342),MONTH(P342),1))</f>
        <v/>
      </c>
      <c r="AI342" s="19" t="str">
        <f aca="false">IF(U342&lt;&gt;"Closed","",COUNTIFS($U$7:$U$506,"Closed",$P$7:$P$506,"&lt;"&amp;P342)+COUNTIFS($U$7:U342,"Closed",$P$7:P342,P342))</f>
        <v/>
      </c>
    </row>
    <row r="343" customFormat="false" ht="15" hidden="false" customHeight="false" outlineLevel="0" collapsed="false">
      <c r="A343" s="13"/>
      <c r="B343" s="48"/>
      <c r="C343" s="48"/>
      <c r="D343" s="48"/>
      <c r="E343" s="15"/>
      <c r="F343" s="15"/>
      <c r="G343" s="16"/>
      <c r="H343" s="17"/>
      <c r="I343" s="17"/>
      <c r="J343" s="17"/>
      <c r="K343" s="17"/>
      <c r="L343" s="16"/>
      <c r="M343" s="17"/>
      <c r="N343" s="16"/>
      <c r="O343" s="17"/>
      <c r="P343" s="15"/>
      <c r="Q343" s="17"/>
      <c r="R343" s="17"/>
      <c r="S343" s="17"/>
      <c r="T343" s="17"/>
      <c r="U343" s="18" t="str">
        <f aca="false">IF(A343="","",IF(N(G343)-N(L343)-N(N343)&lt;0,"Check shares",IF(AND(P343&lt;&gt;"",Q343&lt;&gt;""),"Closed","Open")))</f>
        <v/>
      </c>
      <c r="V343" s="19" t="str">
        <f aca="false">IF(OR(F343="",P343=""),"",NETWORKDAYS(F343,P343,Lists!$F$5:$F$40)-1)</f>
        <v/>
      </c>
      <c r="W343" s="18" t="str">
        <f aca="false">IF(V343="","",IF(V343=0,"Same day","Overnight"))</f>
        <v/>
      </c>
      <c r="X343" s="18" t="str">
        <f aca="false">IF(OR(E343="",F343=""),"",IF(AND(E343&gt;=F343,OR(P343="",E343&lt;=P343)),"Yes","No"))</f>
        <v/>
      </c>
      <c r="Y343" s="20" t="str">
        <f aca="false">IF(A343="","",N(G343)-N(L343)-N(N343))</f>
        <v/>
      </c>
      <c r="Z343" s="21" t="str">
        <f aca="false">IF(OR(G343="",H343="",I343=""),"",ABS(H343-I343)*G343)</f>
        <v/>
      </c>
      <c r="AA343" s="22" t="str">
        <f aca="false">IF(OR(J343="",N(Z343)=0),"",ABS(J343-H343)/ABS(H343-I343))</f>
        <v/>
      </c>
      <c r="AB343" s="23" t="str">
        <f aca="false">IF(U343&lt;&gt;"Closed","",(N(L343)*N(M343)+N(N343)*N(O343)+Y343*Q343)/G343)</f>
        <v/>
      </c>
      <c r="AC343" s="24" t="str">
        <f aca="false">IF(U343&lt;&gt;"Closed","",IF($B343="Short",-1,1)*((N(M343)-H343)*N(L343)+(N(O343)-H343)*N(N343)+(Q343-H343)*Y343)-N(R343))</f>
        <v/>
      </c>
      <c r="AD343" s="25" t="str">
        <f aca="false">IF(OR(AC343="",N(Z343)=0),"",AC343/Z343)</f>
        <v/>
      </c>
      <c r="AE343" s="25" t="str">
        <f aca="false">IF(OR(S343="",N(Z343)=0),"",IF($B343="Short",-1,1)*(S343-H343)*G343/Z343)</f>
        <v/>
      </c>
      <c r="AF343" s="25" t="str">
        <f aca="false">IF(OR(T343="",N(Z343)=0),"",IF($B343="Short",-1,1)*(T343-H343)*G343/Z343)</f>
        <v/>
      </c>
      <c r="AG343" s="21" t="str">
        <f aca="false">IF(U343&lt;&gt;"Open","",Y343*MAX(0,IF($B343="Short",-1,1)*(H343-IF(K343="",I343,K343))))</f>
        <v/>
      </c>
      <c r="AH343" s="26" t="str">
        <f aca="false">IF(U343&lt;&gt;"Closed","",DATE(YEAR(P343),MONTH(P343),1))</f>
        <v/>
      </c>
      <c r="AI343" s="19" t="str">
        <f aca="false">IF(U343&lt;&gt;"Closed","",COUNTIFS($U$7:$U$506,"Closed",$P$7:$P$506,"&lt;"&amp;P343)+COUNTIFS($U$7:U343,"Closed",$P$7:P343,P343))</f>
        <v/>
      </c>
    </row>
    <row r="344" customFormat="false" ht="15" hidden="false" customHeight="false" outlineLevel="0" collapsed="false">
      <c r="A344" s="13"/>
      <c r="B344" s="48"/>
      <c r="C344" s="48"/>
      <c r="D344" s="48"/>
      <c r="E344" s="15"/>
      <c r="F344" s="15"/>
      <c r="G344" s="16"/>
      <c r="H344" s="17"/>
      <c r="I344" s="17"/>
      <c r="J344" s="17"/>
      <c r="K344" s="17"/>
      <c r="L344" s="16"/>
      <c r="M344" s="17"/>
      <c r="N344" s="16"/>
      <c r="O344" s="17"/>
      <c r="P344" s="15"/>
      <c r="Q344" s="17"/>
      <c r="R344" s="17"/>
      <c r="S344" s="17"/>
      <c r="T344" s="17"/>
      <c r="U344" s="18" t="str">
        <f aca="false">IF(A344="","",IF(N(G344)-N(L344)-N(N344)&lt;0,"Check shares",IF(AND(P344&lt;&gt;"",Q344&lt;&gt;""),"Closed","Open")))</f>
        <v/>
      </c>
      <c r="V344" s="19" t="str">
        <f aca="false">IF(OR(F344="",P344=""),"",NETWORKDAYS(F344,P344,Lists!$F$5:$F$40)-1)</f>
        <v/>
      </c>
      <c r="W344" s="18" t="str">
        <f aca="false">IF(V344="","",IF(V344=0,"Same day","Overnight"))</f>
        <v/>
      </c>
      <c r="X344" s="18" t="str">
        <f aca="false">IF(OR(E344="",F344=""),"",IF(AND(E344&gt;=F344,OR(P344="",E344&lt;=P344)),"Yes","No"))</f>
        <v/>
      </c>
      <c r="Y344" s="20" t="str">
        <f aca="false">IF(A344="","",N(G344)-N(L344)-N(N344))</f>
        <v/>
      </c>
      <c r="Z344" s="21" t="str">
        <f aca="false">IF(OR(G344="",H344="",I344=""),"",ABS(H344-I344)*G344)</f>
        <v/>
      </c>
      <c r="AA344" s="22" t="str">
        <f aca="false">IF(OR(J344="",N(Z344)=0),"",ABS(J344-H344)/ABS(H344-I344))</f>
        <v/>
      </c>
      <c r="AB344" s="23" t="str">
        <f aca="false">IF(U344&lt;&gt;"Closed","",(N(L344)*N(M344)+N(N344)*N(O344)+Y344*Q344)/G344)</f>
        <v/>
      </c>
      <c r="AC344" s="24" t="str">
        <f aca="false">IF(U344&lt;&gt;"Closed","",IF($B344="Short",-1,1)*((N(M344)-H344)*N(L344)+(N(O344)-H344)*N(N344)+(Q344-H344)*Y344)-N(R344))</f>
        <v/>
      </c>
      <c r="AD344" s="25" t="str">
        <f aca="false">IF(OR(AC344="",N(Z344)=0),"",AC344/Z344)</f>
        <v/>
      </c>
      <c r="AE344" s="25" t="str">
        <f aca="false">IF(OR(S344="",N(Z344)=0),"",IF($B344="Short",-1,1)*(S344-H344)*G344/Z344)</f>
        <v/>
      </c>
      <c r="AF344" s="25" t="str">
        <f aca="false">IF(OR(T344="",N(Z344)=0),"",IF($B344="Short",-1,1)*(T344-H344)*G344/Z344)</f>
        <v/>
      </c>
      <c r="AG344" s="21" t="str">
        <f aca="false">IF(U344&lt;&gt;"Open","",Y344*MAX(0,IF($B344="Short",-1,1)*(H344-IF(K344="",I344,K344))))</f>
        <v/>
      </c>
      <c r="AH344" s="26" t="str">
        <f aca="false">IF(U344&lt;&gt;"Closed","",DATE(YEAR(P344),MONTH(P344),1))</f>
        <v/>
      </c>
      <c r="AI344" s="19" t="str">
        <f aca="false">IF(U344&lt;&gt;"Closed","",COUNTIFS($U$7:$U$506,"Closed",$P$7:$P$506,"&lt;"&amp;P344)+COUNTIFS($U$7:U344,"Closed",$P$7:P344,P344))</f>
        <v/>
      </c>
    </row>
    <row r="345" customFormat="false" ht="15" hidden="false" customHeight="false" outlineLevel="0" collapsed="false">
      <c r="A345" s="13"/>
      <c r="B345" s="48"/>
      <c r="C345" s="48"/>
      <c r="D345" s="48"/>
      <c r="E345" s="15"/>
      <c r="F345" s="15"/>
      <c r="G345" s="16"/>
      <c r="H345" s="17"/>
      <c r="I345" s="17"/>
      <c r="J345" s="17"/>
      <c r="K345" s="17"/>
      <c r="L345" s="16"/>
      <c r="M345" s="17"/>
      <c r="N345" s="16"/>
      <c r="O345" s="17"/>
      <c r="P345" s="15"/>
      <c r="Q345" s="17"/>
      <c r="R345" s="17"/>
      <c r="S345" s="17"/>
      <c r="T345" s="17"/>
      <c r="U345" s="18" t="str">
        <f aca="false">IF(A345="","",IF(N(G345)-N(L345)-N(N345)&lt;0,"Check shares",IF(AND(P345&lt;&gt;"",Q345&lt;&gt;""),"Closed","Open")))</f>
        <v/>
      </c>
      <c r="V345" s="19" t="str">
        <f aca="false">IF(OR(F345="",P345=""),"",NETWORKDAYS(F345,P345,Lists!$F$5:$F$40)-1)</f>
        <v/>
      </c>
      <c r="W345" s="18" t="str">
        <f aca="false">IF(V345="","",IF(V345=0,"Same day","Overnight"))</f>
        <v/>
      </c>
      <c r="X345" s="18" t="str">
        <f aca="false">IF(OR(E345="",F345=""),"",IF(AND(E345&gt;=F345,OR(P345="",E345&lt;=P345)),"Yes","No"))</f>
        <v/>
      </c>
      <c r="Y345" s="20" t="str">
        <f aca="false">IF(A345="","",N(G345)-N(L345)-N(N345))</f>
        <v/>
      </c>
      <c r="Z345" s="21" t="str">
        <f aca="false">IF(OR(G345="",H345="",I345=""),"",ABS(H345-I345)*G345)</f>
        <v/>
      </c>
      <c r="AA345" s="22" t="str">
        <f aca="false">IF(OR(J345="",N(Z345)=0),"",ABS(J345-H345)/ABS(H345-I345))</f>
        <v/>
      </c>
      <c r="AB345" s="23" t="str">
        <f aca="false">IF(U345&lt;&gt;"Closed","",(N(L345)*N(M345)+N(N345)*N(O345)+Y345*Q345)/G345)</f>
        <v/>
      </c>
      <c r="AC345" s="24" t="str">
        <f aca="false">IF(U345&lt;&gt;"Closed","",IF($B345="Short",-1,1)*((N(M345)-H345)*N(L345)+(N(O345)-H345)*N(N345)+(Q345-H345)*Y345)-N(R345))</f>
        <v/>
      </c>
      <c r="AD345" s="25" t="str">
        <f aca="false">IF(OR(AC345="",N(Z345)=0),"",AC345/Z345)</f>
        <v/>
      </c>
      <c r="AE345" s="25" t="str">
        <f aca="false">IF(OR(S345="",N(Z345)=0),"",IF($B345="Short",-1,1)*(S345-H345)*G345/Z345)</f>
        <v/>
      </c>
      <c r="AF345" s="25" t="str">
        <f aca="false">IF(OR(T345="",N(Z345)=0),"",IF($B345="Short",-1,1)*(T345-H345)*G345/Z345)</f>
        <v/>
      </c>
      <c r="AG345" s="21" t="str">
        <f aca="false">IF(U345&lt;&gt;"Open","",Y345*MAX(0,IF($B345="Short",-1,1)*(H345-IF(K345="",I345,K345))))</f>
        <v/>
      </c>
      <c r="AH345" s="26" t="str">
        <f aca="false">IF(U345&lt;&gt;"Closed","",DATE(YEAR(P345),MONTH(P345),1))</f>
        <v/>
      </c>
      <c r="AI345" s="19" t="str">
        <f aca="false">IF(U345&lt;&gt;"Closed","",COUNTIFS($U$7:$U$506,"Closed",$P$7:$P$506,"&lt;"&amp;P345)+COUNTIFS($U$7:U345,"Closed",$P$7:P345,P345))</f>
        <v/>
      </c>
    </row>
    <row r="346" customFormat="false" ht="15" hidden="false" customHeight="false" outlineLevel="0" collapsed="false">
      <c r="A346" s="13"/>
      <c r="B346" s="48"/>
      <c r="C346" s="48"/>
      <c r="D346" s="48"/>
      <c r="E346" s="15"/>
      <c r="F346" s="15"/>
      <c r="G346" s="16"/>
      <c r="H346" s="17"/>
      <c r="I346" s="17"/>
      <c r="J346" s="17"/>
      <c r="K346" s="17"/>
      <c r="L346" s="16"/>
      <c r="M346" s="17"/>
      <c r="N346" s="16"/>
      <c r="O346" s="17"/>
      <c r="P346" s="15"/>
      <c r="Q346" s="17"/>
      <c r="R346" s="17"/>
      <c r="S346" s="17"/>
      <c r="T346" s="17"/>
      <c r="U346" s="18" t="str">
        <f aca="false">IF(A346="","",IF(N(G346)-N(L346)-N(N346)&lt;0,"Check shares",IF(AND(P346&lt;&gt;"",Q346&lt;&gt;""),"Closed","Open")))</f>
        <v/>
      </c>
      <c r="V346" s="19" t="str">
        <f aca="false">IF(OR(F346="",P346=""),"",NETWORKDAYS(F346,P346,Lists!$F$5:$F$40)-1)</f>
        <v/>
      </c>
      <c r="W346" s="18" t="str">
        <f aca="false">IF(V346="","",IF(V346=0,"Same day","Overnight"))</f>
        <v/>
      </c>
      <c r="X346" s="18" t="str">
        <f aca="false">IF(OR(E346="",F346=""),"",IF(AND(E346&gt;=F346,OR(P346="",E346&lt;=P346)),"Yes","No"))</f>
        <v/>
      </c>
      <c r="Y346" s="20" t="str">
        <f aca="false">IF(A346="","",N(G346)-N(L346)-N(N346))</f>
        <v/>
      </c>
      <c r="Z346" s="21" t="str">
        <f aca="false">IF(OR(G346="",H346="",I346=""),"",ABS(H346-I346)*G346)</f>
        <v/>
      </c>
      <c r="AA346" s="22" t="str">
        <f aca="false">IF(OR(J346="",N(Z346)=0),"",ABS(J346-H346)/ABS(H346-I346))</f>
        <v/>
      </c>
      <c r="AB346" s="23" t="str">
        <f aca="false">IF(U346&lt;&gt;"Closed","",(N(L346)*N(M346)+N(N346)*N(O346)+Y346*Q346)/G346)</f>
        <v/>
      </c>
      <c r="AC346" s="24" t="str">
        <f aca="false">IF(U346&lt;&gt;"Closed","",IF($B346="Short",-1,1)*((N(M346)-H346)*N(L346)+(N(O346)-H346)*N(N346)+(Q346-H346)*Y346)-N(R346))</f>
        <v/>
      </c>
      <c r="AD346" s="25" t="str">
        <f aca="false">IF(OR(AC346="",N(Z346)=0),"",AC346/Z346)</f>
        <v/>
      </c>
      <c r="AE346" s="25" t="str">
        <f aca="false">IF(OR(S346="",N(Z346)=0),"",IF($B346="Short",-1,1)*(S346-H346)*G346/Z346)</f>
        <v/>
      </c>
      <c r="AF346" s="25" t="str">
        <f aca="false">IF(OR(T346="",N(Z346)=0),"",IF($B346="Short",-1,1)*(T346-H346)*G346/Z346)</f>
        <v/>
      </c>
      <c r="AG346" s="21" t="str">
        <f aca="false">IF(U346&lt;&gt;"Open","",Y346*MAX(0,IF($B346="Short",-1,1)*(H346-IF(K346="",I346,K346))))</f>
        <v/>
      </c>
      <c r="AH346" s="26" t="str">
        <f aca="false">IF(U346&lt;&gt;"Closed","",DATE(YEAR(P346),MONTH(P346),1))</f>
        <v/>
      </c>
      <c r="AI346" s="19" t="str">
        <f aca="false">IF(U346&lt;&gt;"Closed","",COUNTIFS($U$7:$U$506,"Closed",$P$7:$P$506,"&lt;"&amp;P346)+COUNTIFS($U$7:U346,"Closed",$P$7:P346,P346))</f>
        <v/>
      </c>
    </row>
    <row r="347" customFormat="false" ht="15" hidden="false" customHeight="false" outlineLevel="0" collapsed="false">
      <c r="A347" s="13"/>
      <c r="B347" s="48"/>
      <c r="C347" s="48"/>
      <c r="D347" s="48"/>
      <c r="E347" s="15"/>
      <c r="F347" s="15"/>
      <c r="G347" s="16"/>
      <c r="H347" s="17"/>
      <c r="I347" s="17"/>
      <c r="J347" s="17"/>
      <c r="K347" s="17"/>
      <c r="L347" s="16"/>
      <c r="M347" s="17"/>
      <c r="N347" s="16"/>
      <c r="O347" s="17"/>
      <c r="P347" s="15"/>
      <c r="Q347" s="17"/>
      <c r="R347" s="17"/>
      <c r="S347" s="17"/>
      <c r="T347" s="17"/>
      <c r="U347" s="18" t="str">
        <f aca="false">IF(A347="","",IF(N(G347)-N(L347)-N(N347)&lt;0,"Check shares",IF(AND(P347&lt;&gt;"",Q347&lt;&gt;""),"Closed","Open")))</f>
        <v/>
      </c>
      <c r="V347" s="19" t="str">
        <f aca="false">IF(OR(F347="",P347=""),"",NETWORKDAYS(F347,P347,Lists!$F$5:$F$40)-1)</f>
        <v/>
      </c>
      <c r="W347" s="18" t="str">
        <f aca="false">IF(V347="","",IF(V347=0,"Same day","Overnight"))</f>
        <v/>
      </c>
      <c r="X347" s="18" t="str">
        <f aca="false">IF(OR(E347="",F347=""),"",IF(AND(E347&gt;=F347,OR(P347="",E347&lt;=P347)),"Yes","No"))</f>
        <v/>
      </c>
      <c r="Y347" s="20" t="str">
        <f aca="false">IF(A347="","",N(G347)-N(L347)-N(N347))</f>
        <v/>
      </c>
      <c r="Z347" s="21" t="str">
        <f aca="false">IF(OR(G347="",H347="",I347=""),"",ABS(H347-I347)*G347)</f>
        <v/>
      </c>
      <c r="AA347" s="22" t="str">
        <f aca="false">IF(OR(J347="",N(Z347)=0),"",ABS(J347-H347)/ABS(H347-I347))</f>
        <v/>
      </c>
      <c r="AB347" s="23" t="str">
        <f aca="false">IF(U347&lt;&gt;"Closed","",(N(L347)*N(M347)+N(N347)*N(O347)+Y347*Q347)/G347)</f>
        <v/>
      </c>
      <c r="AC347" s="24" t="str">
        <f aca="false">IF(U347&lt;&gt;"Closed","",IF($B347="Short",-1,1)*((N(M347)-H347)*N(L347)+(N(O347)-H347)*N(N347)+(Q347-H347)*Y347)-N(R347))</f>
        <v/>
      </c>
      <c r="AD347" s="25" t="str">
        <f aca="false">IF(OR(AC347="",N(Z347)=0),"",AC347/Z347)</f>
        <v/>
      </c>
      <c r="AE347" s="25" t="str">
        <f aca="false">IF(OR(S347="",N(Z347)=0),"",IF($B347="Short",-1,1)*(S347-H347)*G347/Z347)</f>
        <v/>
      </c>
      <c r="AF347" s="25" t="str">
        <f aca="false">IF(OR(T347="",N(Z347)=0),"",IF($B347="Short",-1,1)*(T347-H347)*G347/Z347)</f>
        <v/>
      </c>
      <c r="AG347" s="21" t="str">
        <f aca="false">IF(U347&lt;&gt;"Open","",Y347*MAX(0,IF($B347="Short",-1,1)*(H347-IF(K347="",I347,K347))))</f>
        <v/>
      </c>
      <c r="AH347" s="26" t="str">
        <f aca="false">IF(U347&lt;&gt;"Closed","",DATE(YEAR(P347),MONTH(P347),1))</f>
        <v/>
      </c>
      <c r="AI347" s="19" t="str">
        <f aca="false">IF(U347&lt;&gt;"Closed","",COUNTIFS($U$7:$U$506,"Closed",$P$7:$P$506,"&lt;"&amp;P347)+COUNTIFS($U$7:U347,"Closed",$P$7:P347,P347))</f>
        <v/>
      </c>
    </row>
    <row r="348" customFormat="false" ht="15" hidden="false" customHeight="false" outlineLevel="0" collapsed="false">
      <c r="A348" s="13"/>
      <c r="B348" s="48"/>
      <c r="C348" s="48"/>
      <c r="D348" s="48"/>
      <c r="E348" s="15"/>
      <c r="F348" s="15"/>
      <c r="G348" s="16"/>
      <c r="H348" s="17"/>
      <c r="I348" s="17"/>
      <c r="J348" s="17"/>
      <c r="K348" s="17"/>
      <c r="L348" s="16"/>
      <c r="M348" s="17"/>
      <c r="N348" s="16"/>
      <c r="O348" s="17"/>
      <c r="P348" s="15"/>
      <c r="Q348" s="17"/>
      <c r="R348" s="17"/>
      <c r="S348" s="17"/>
      <c r="T348" s="17"/>
      <c r="U348" s="18" t="str">
        <f aca="false">IF(A348="","",IF(N(G348)-N(L348)-N(N348)&lt;0,"Check shares",IF(AND(P348&lt;&gt;"",Q348&lt;&gt;""),"Closed","Open")))</f>
        <v/>
      </c>
      <c r="V348" s="19" t="str">
        <f aca="false">IF(OR(F348="",P348=""),"",NETWORKDAYS(F348,P348,Lists!$F$5:$F$40)-1)</f>
        <v/>
      </c>
      <c r="W348" s="18" t="str">
        <f aca="false">IF(V348="","",IF(V348=0,"Same day","Overnight"))</f>
        <v/>
      </c>
      <c r="X348" s="18" t="str">
        <f aca="false">IF(OR(E348="",F348=""),"",IF(AND(E348&gt;=F348,OR(P348="",E348&lt;=P348)),"Yes","No"))</f>
        <v/>
      </c>
      <c r="Y348" s="20" t="str">
        <f aca="false">IF(A348="","",N(G348)-N(L348)-N(N348))</f>
        <v/>
      </c>
      <c r="Z348" s="21" t="str">
        <f aca="false">IF(OR(G348="",H348="",I348=""),"",ABS(H348-I348)*G348)</f>
        <v/>
      </c>
      <c r="AA348" s="22" t="str">
        <f aca="false">IF(OR(J348="",N(Z348)=0),"",ABS(J348-H348)/ABS(H348-I348))</f>
        <v/>
      </c>
      <c r="AB348" s="23" t="str">
        <f aca="false">IF(U348&lt;&gt;"Closed","",(N(L348)*N(M348)+N(N348)*N(O348)+Y348*Q348)/G348)</f>
        <v/>
      </c>
      <c r="AC348" s="24" t="str">
        <f aca="false">IF(U348&lt;&gt;"Closed","",IF($B348="Short",-1,1)*((N(M348)-H348)*N(L348)+(N(O348)-H348)*N(N348)+(Q348-H348)*Y348)-N(R348))</f>
        <v/>
      </c>
      <c r="AD348" s="25" t="str">
        <f aca="false">IF(OR(AC348="",N(Z348)=0),"",AC348/Z348)</f>
        <v/>
      </c>
      <c r="AE348" s="25" t="str">
        <f aca="false">IF(OR(S348="",N(Z348)=0),"",IF($B348="Short",-1,1)*(S348-H348)*G348/Z348)</f>
        <v/>
      </c>
      <c r="AF348" s="25" t="str">
        <f aca="false">IF(OR(T348="",N(Z348)=0),"",IF($B348="Short",-1,1)*(T348-H348)*G348/Z348)</f>
        <v/>
      </c>
      <c r="AG348" s="21" t="str">
        <f aca="false">IF(U348&lt;&gt;"Open","",Y348*MAX(0,IF($B348="Short",-1,1)*(H348-IF(K348="",I348,K348))))</f>
        <v/>
      </c>
      <c r="AH348" s="26" t="str">
        <f aca="false">IF(U348&lt;&gt;"Closed","",DATE(YEAR(P348),MONTH(P348),1))</f>
        <v/>
      </c>
      <c r="AI348" s="19" t="str">
        <f aca="false">IF(U348&lt;&gt;"Closed","",COUNTIFS($U$7:$U$506,"Closed",$P$7:$P$506,"&lt;"&amp;P348)+COUNTIFS($U$7:U348,"Closed",$P$7:P348,P348))</f>
        <v/>
      </c>
    </row>
    <row r="349" customFormat="false" ht="15" hidden="false" customHeight="false" outlineLevel="0" collapsed="false">
      <c r="A349" s="13"/>
      <c r="B349" s="48"/>
      <c r="C349" s="48"/>
      <c r="D349" s="48"/>
      <c r="E349" s="15"/>
      <c r="F349" s="15"/>
      <c r="G349" s="16"/>
      <c r="H349" s="17"/>
      <c r="I349" s="17"/>
      <c r="J349" s="17"/>
      <c r="K349" s="17"/>
      <c r="L349" s="16"/>
      <c r="M349" s="17"/>
      <c r="N349" s="16"/>
      <c r="O349" s="17"/>
      <c r="P349" s="15"/>
      <c r="Q349" s="17"/>
      <c r="R349" s="17"/>
      <c r="S349" s="17"/>
      <c r="T349" s="17"/>
      <c r="U349" s="18" t="str">
        <f aca="false">IF(A349="","",IF(N(G349)-N(L349)-N(N349)&lt;0,"Check shares",IF(AND(P349&lt;&gt;"",Q349&lt;&gt;""),"Closed","Open")))</f>
        <v/>
      </c>
      <c r="V349" s="19" t="str">
        <f aca="false">IF(OR(F349="",P349=""),"",NETWORKDAYS(F349,P349,Lists!$F$5:$F$40)-1)</f>
        <v/>
      </c>
      <c r="W349" s="18" t="str">
        <f aca="false">IF(V349="","",IF(V349=0,"Same day","Overnight"))</f>
        <v/>
      </c>
      <c r="X349" s="18" t="str">
        <f aca="false">IF(OR(E349="",F349=""),"",IF(AND(E349&gt;=F349,OR(P349="",E349&lt;=P349)),"Yes","No"))</f>
        <v/>
      </c>
      <c r="Y349" s="20" t="str">
        <f aca="false">IF(A349="","",N(G349)-N(L349)-N(N349))</f>
        <v/>
      </c>
      <c r="Z349" s="21" t="str">
        <f aca="false">IF(OR(G349="",H349="",I349=""),"",ABS(H349-I349)*G349)</f>
        <v/>
      </c>
      <c r="AA349" s="22" t="str">
        <f aca="false">IF(OR(J349="",N(Z349)=0),"",ABS(J349-H349)/ABS(H349-I349))</f>
        <v/>
      </c>
      <c r="AB349" s="23" t="str">
        <f aca="false">IF(U349&lt;&gt;"Closed","",(N(L349)*N(M349)+N(N349)*N(O349)+Y349*Q349)/G349)</f>
        <v/>
      </c>
      <c r="AC349" s="24" t="str">
        <f aca="false">IF(U349&lt;&gt;"Closed","",IF($B349="Short",-1,1)*((N(M349)-H349)*N(L349)+(N(O349)-H349)*N(N349)+(Q349-H349)*Y349)-N(R349))</f>
        <v/>
      </c>
      <c r="AD349" s="25" t="str">
        <f aca="false">IF(OR(AC349="",N(Z349)=0),"",AC349/Z349)</f>
        <v/>
      </c>
      <c r="AE349" s="25" t="str">
        <f aca="false">IF(OR(S349="",N(Z349)=0),"",IF($B349="Short",-1,1)*(S349-H349)*G349/Z349)</f>
        <v/>
      </c>
      <c r="AF349" s="25" t="str">
        <f aca="false">IF(OR(T349="",N(Z349)=0),"",IF($B349="Short",-1,1)*(T349-H349)*G349/Z349)</f>
        <v/>
      </c>
      <c r="AG349" s="21" t="str">
        <f aca="false">IF(U349&lt;&gt;"Open","",Y349*MAX(0,IF($B349="Short",-1,1)*(H349-IF(K349="",I349,K349))))</f>
        <v/>
      </c>
      <c r="AH349" s="26" t="str">
        <f aca="false">IF(U349&lt;&gt;"Closed","",DATE(YEAR(P349),MONTH(P349),1))</f>
        <v/>
      </c>
      <c r="AI349" s="19" t="str">
        <f aca="false">IF(U349&lt;&gt;"Closed","",COUNTIFS($U$7:$U$506,"Closed",$P$7:$P$506,"&lt;"&amp;P349)+COUNTIFS($U$7:U349,"Closed",$P$7:P349,P349))</f>
        <v/>
      </c>
    </row>
    <row r="350" customFormat="false" ht="15" hidden="false" customHeight="false" outlineLevel="0" collapsed="false">
      <c r="A350" s="13"/>
      <c r="B350" s="48"/>
      <c r="C350" s="48"/>
      <c r="D350" s="48"/>
      <c r="E350" s="15"/>
      <c r="F350" s="15"/>
      <c r="G350" s="16"/>
      <c r="H350" s="17"/>
      <c r="I350" s="17"/>
      <c r="J350" s="17"/>
      <c r="K350" s="17"/>
      <c r="L350" s="16"/>
      <c r="M350" s="17"/>
      <c r="N350" s="16"/>
      <c r="O350" s="17"/>
      <c r="P350" s="15"/>
      <c r="Q350" s="17"/>
      <c r="R350" s="17"/>
      <c r="S350" s="17"/>
      <c r="T350" s="17"/>
      <c r="U350" s="18" t="str">
        <f aca="false">IF(A350="","",IF(N(G350)-N(L350)-N(N350)&lt;0,"Check shares",IF(AND(P350&lt;&gt;"",Q350&lt;&gt;""),"Closed","Open")))</f>
        <v/>
      </c>
      <c r="V350" s="19" t="str">
        <f aca="false">IF(OR(F350="",P350=""),"",NETWORKDAYS(F350,P350,Lists!$F$5:$F$40)-1)</f>
        <v/>
      </c>
      <c r="W350" s="18" t="str">
        <f aca="false">IF(V350="","",IF(V350=0,"Same day","Overnight"))</f>
        <v/>
      </c>
      <c r="X350" s="18" t="str">
        <f aca="false">IF(OR(E350="",F350=""),"",IF(AND(E350&gt;=F350,OR(P350="",E350&lt;=P350)),"Yes","No"))</f>
        <v/>
      </c>
      <c r="Y350" s="20" t="str">
        <f aca="false">IF(A350="","",N(G350)-N(L350)-N(N350))</f>
        <v/>
      </c>
      <c r="Z350" s="21" t="str">
        <f aca="false">IF(OR(G350="",H350="",I350=""),"",ABS(H350-I350)*G350)</f>
        <v/>
      </c>
      <c r="AA350" s="22" t="str">
        <f aca="false">IF(OR(J350="",N(Z350)=0),"",ABS(J350-H350)/ABS(H350-I350))</f>
        <v/>
      </c>
      <c r="AB350" s="23" t="str">
        <f aca="false">IF(U350&lt;&gt;"Closed","",(N(L350)*N(M350)+N(N350)*N(O350)+Y350*Q350)/G350)</f>
        <v/>
      </c>
      <c r="AC350" s="24" t="str">
        <f aca="false">IF(U350&lt;&gt;"Closed","",IF($B350="Short",-1,1)*((N(M350)-H350)*N(L350)+(N(O350)-H350)*N(N350)+(Q350-H350)*Y350)-N(R350))</f>
        <v/>
      </c>
      <c r="AD350" s="25" t="str">
        <f aca="false">IF(OR(AC350="",N(Z350)=0),"",AC350/Z350)</f>
        <v/>
      </c>
      <c r="AE350" s="25" t="str">
        <f aca="false">IF(OR(S350="",N(Z350)=0),"",IF($B350="Short",-1,1)*(S350-H350)*G350/Z350)</f>
        <v/>
      </c>
      <c r="AF350" s="25" t="str">
        <f aca="false">IF(OR(T350="",N(Z350)=0),"",IF($B350="Short",-1,1)*(T350-H350)*G350/Z350)</f>
        <v/>
      </c>
      <c r="AG350" s="21" t="str">
        <f aca="false">IF(U350&lt;&gt;"Open","",Y350*MAX(0,IF($B350="Short",-1,1)*(H350-IF(K350="",I350,K350))))</f>
        <v/>
      </c>
      <c r="AH350" s="26" t="str">
        <f aca="false">IF(U350&lt;&gt;"Closed","",DATE(YEAR(P350),MONTH(P350),1))</f>
        <v/>
      </c>
      <c r="AI350" s="19" t="str">
        <f aca="false">IF(U350&lt;&gt;"Closed","",COUNTIFS($U$7:$U$506,"Closed",$P$7:$P$506,"&lt;"&amp;P350)+COUNTIFS($U$7:U350,"Closed",$P$7:P350,P350))</f>
        <v/>
      </c>
    </row>
    <row r="351" customFormat="false" ht="15" hidden="false" customHeight="false" outlineLevel="0" collapsed="false">
      <c r="A351" s="13"/>
      <c r="B351" s="48"/>
      <c r="C351" s="48"/>
      <c r="D351" s="48"/>
      <c r="E351" s="15"/>
      <c r="F351" s="15"/>
      <c r="G351" s="16"/>
      <c r="H351" s="17"/>
      <c r="I351" s="17"/>
      <c r="J351" s="17"/>
      <c r="K351" s="17"/>
      <c r="L351" s="16"/>
      <c r="M351" s="17"/>
      <c r="N351" s="16"/>
      <c r="O351" s="17"/>
      <c r="P351" s="15"/>
      <c r="Q351" s="17"/>
      <c r="R351" s="17"/>
      <c r="S351" s="17"/>
      <c r="T351" s="17"/>
      <c r="U351" s="18" t="str">
        <f aca="false">IF(A351="","",IF(N(G351)-N(L351)-N(N351)&lt;0,"Check shares",IF(AND(P351&lt;&gt;"",Q351&lt;&gt;""),"Closed","Open")))</f>
        <v/>
      </c>
      <c r="V351" s="19" t="str">
        <f aca="false">IF(OR(F351="",P351=""),"",NETWORKDAYS(F351,P351,Lists!$F$5:$F$40)-1)</f>
        <v/>
      </c>
      <c r="W351" s="18" t="str">
        <f aca="false">IF(V351="","",IF(V351=0,"Same day","Overnight"))</f>
        <v/>
      </c>
      <c r="X351" s="18" t="str">
        <f aca="false">IF(OR(E351="",F351=""),"",IF(AND(E351&gt;=F351,OR(P351="",E351&lt;=P351)),"Yes","No"))</f>
        <v/>
      </c>
      <c r="Y351" s="20" t="str">
        <f aca="false">IF(A351="","",N(G351)-N(L351)-N(N351))</f>
        <v/>
      </c>
      <c r="Z351" s="21" t="str">
        <f aca="false">IF(OR(G351="",H351="",I351=""),"",ABS(H351-I351)*G351)</f>
        <v/>
      </c>
      <c r="AA351" s="22" t="str">
        <f aca="false">IF(OR(J351="",N(Z351)=0),"",ABS(J351-H351)/ABS(H351-I351))</f>
        <v/>
      </c>
      <c r="AB351" s="23" t="str">
        <f aca="false">IF(U351&lt;&gt;"Closed","",(N(L351)*N(M351)+N(N351)*N(O351)+Y351*Q351)/G351)</f>
        <v/>
      </c>
      <c r="AC351" s="24" t="str">
        <f aca="false">IF(U351&lt;&gt;"Closed","",IF($B351="Short",-1,1)*((N(M351)-H351)*N(L351)+(N(O351)-H351)*N(N351)+(Q351-H351)*Y351)-N(R351))</f>
        <v/>
      </c>
      <c r="AD351" s="25" t="str">
        <f aca="false">IF(OR(AC351="",N(Z351)=0),"",AC351/Z351)</f>
        <v/>
      </c>
      <c r="AE351" s="25" t="str">
        <f aca="false">IF(OR(S351="",N(Z351)=0),"",IF($B351="Short",-1,1)*(S351-H351)*G351/Z351)</f>
        <v/>
      </c>
      <c r="AF351" s="25" t="str">
        <f aca="false">IF(OR(T351="",N(Z351)=0),"",IF($B351="Short",-1,1)*(T351-H351)*G351/Z351)</f>
        <v/>
      </c>
      <c r="AG351" s="21" t="str">
        <f aca="false">IF(U351&lt;&gt;"Open","",Y351*MAX(0,IF($B351="Short",-1,1)*(H351-IF(K351="",I351,K351))))</f>
        <v/>
      </c>
      <c r="AH351" s="26" t="str">
        <f aca="false">IF(U351&lt;&gt;"Closed","",DATE(YEAR(P351),MONTH(P351),1))</f>
        <v/>
      </c>
      <c r="AI351" s="19" t="str">
        <f aca="false">IF(U351&lt;&gt;"Closed","",COUNTIFS($U$7:$U$506,"Closed",$P$7:$P$506,"&lt;"&amp;P351)+COUNTIFS($U$7:U351,"Closed",$P$7:P351,P351))</f>
        <v/>
      </c>
    </row>
    <row r="352" customFormat="false" ht="15" hidden="false" customHeight="false" outlineLevel="0" collapsed="false">
      <c r="A352" s="13"/>
      <c r="B352" s="48"/>
      <c r="C352" s="48"/>
      <c r="D352" s="48"/>
      <c r="E352" s="15"/>
      <c r="F352" s="15"/>
      <c r="G352" s="16"/>
      <c r="H352" s="17"/>
      <c r="I352" s="17"/>
      <c r="J352" s="17"/>
      <c r="K352" s="17"/>
      <c r="L352" s="16"/>
      <c r="M352" s="17"/>
      <c r="N352" s="16"/>
      <c r="O352" s="17"/>
      <c r="P352" s="15"/>
      <c r="Q352" s="17"/>
      <c r="R352" s="17"/>
      <c r="S352" s="17"/>
      <c r="T352" s="17"/>
      <c r="U352" s="18" t="str">
        <f aca="false">IF(A352="","",IF(N(G352)-N(L352)-N(N352)&lt;0,"Check shares",IF(AND(P352&lt;&gt;"",Q352&lt;&gt;""),"Closed","Open")))</f>
        <v/>
      </c>
      <c r="V352" s="19" t="str">
        <f aca="false">IF(OR(F352="",P352=""),"",NETWORKDAYS(F352,P352,Lists!$F$5:$F$40)-1)</f>
        <v/>
      </c>
      <c r="W352" s="18" t="str">
        <f aca="false">IF(V352="","",IF(V352=0,"Same day","Overnight"))</f>
        <v/>
      </c>
      <c r="X352" s="18" t="str">
        <f aca="false">IF(OR(E352="",F352=""),"",IF(AND(E352&gt;=F352,OR(P352="",E352&lt;=P352)),"Yes","No"))</f>
        <v/>
      </c>
      <c r="Y352" s="20" t="str">
        <f aca="false">IF(A352="","",N(G352)-N(L352)-N(N352))</f>
        <v/>
      </c>
      <c r="Z352" s="21" t="str">
        <f aca="false">IF(OR(G352="",H352="",I352=""),"",ABS(H352-I352)*G352)</f>
        <v/>
      </c>
      <c r="AA352" s="22" t="str">
        <f aca="false">IF(OR(J352="",N(Z352)=0),"",ABS(J352-H352)/ABS(H352-I352))</f>
        <v/>
      </c>
      <c r="AB352" s="23" t="str">
        <f aca="false">IF(U352&lt;&gt;"Closed","",(N(L352)*N(M352)+N(N352)*N(O352)+Y352*Q352)/G352)</f>
        <v/>
      </c>
      <c r="AC352" s="24" t="str">
        <f aca="false">IF(U352&lt;&gt;"Closed","",IF($B352="Short",-1,1)*((N(M352)-H352)*N(L352)+(N(O352)-H352)*N(N352)+(Q352-H352)*Y352)-N(R352))</f>
        <v/>
      </c>
      <c r="AD352" s="25" t="str">
        <f aca="false">IF(OR(AC352="",N(Z352)=0),"",AC352/Z352)</f>
        <v/>
      </c>
      <c r="AE352" s="25" t="str">
        <f aca="false">IF(OR(S352="",N(Z352)=0),"",IF($B352="Short",-1,1)*(S352-H352)*G352/Z352)</f>
        <v/>
      </c>
      <c r="AF352" s="25" t="str">
        <f aca="false">IF(OR(T352="",N(Z352)=0),"",IF($B352="Short",-1,1)*(T352-H352)*G352/Z352)</f>
        <v/>
      </c>
      <c r="AG352" s="21" t="str">
        <f aca="false">IF(U352&lt;&gt;"Open","",Y352*MAX(0,IF($B352="Short",-1,1)*(H352-IF(K352="",I352,K352))))</f>
        <v/>
      </c>
      <c r="AH352" s="26" t="str">
        <f aca="false">IF(U352&lt;&gt;"Closed","",DATE(YEAR(P352),MONTH(P352),1))</f>
        <v/>
      </c>
      <c r="AI352" s="19" t="str">
        <f aca="false">IF(U352&lt;&gt;"Closed","",COUNTIFS($U$7:$U$506,"Closed",$P$7:$P$506,"&lt;"&amp;P352)+COUNTIFS($U$7:U352,"Closed",$P$7:P352,P352))</f>
        <v/>
      </c>
    </row>
    <row r="353" customFormat="false" ht="15" hidden="false" customHeight="false" outlineLevel="0" collapsed="false">
      <c r="A353" s="13"/>
      <c r="B353" s="48"/>
      <c r="C353" s="48"/>
      <c r="D353" s="48"/>
      <c r="E353" s="15"/>
      <c r="F353" s="15"/>
      <c r="G353" s="16"/>
      <c r="H353" s="17"/>
      <c r="I353" s="17"/>
      <c r="J353" s="17"/>
      <c r="K353" s="17"/>
      <c r="L353" s="16"/>
      <c r="M353" s="17"/>
      <c r="N353" s="16"/>
      <c r="O353" s="17"/>
      <c r="P353" s="15"/>
      <c r="Q353" s="17"/>
      <c r="R353" s="17"/>
      <c r="S353" s="17"/>
      <c r="T353" s="17"/>
      <c r="U353" s="18" t="str">
        <f aca="false">IF(A353="","",IF(N(G353)-N(L353)-N(N353)&lt;0,"Check shares",IF(AND(P353&lt;&gt;"",Q353&lt;&gt;""),"Closed","Open")))</f>
        <v/>
      </c>
      <c r="V353" s="19" t="str">
        <f aca="false">IF(OR(F353="",P353=""),"",NETWORKDAYS(F353,P353,Lists!$F$5:$F$40)-1)</f>
        <v/>
      </c>
      <c r="W353" s="18" t="str">
        <f aca="false">IF(V353="","",IF(V353=0,"Same day","Overnight"))</f>
        <v/>
      </c>
      <c r="X353" s="18" t="str">
        <f aca="false">IF(OR(E353="",F353=""),"",IF(AND(E353&gt;=F353,OR(P353="",E353&lt;=P353)),"Yes","No"))</f>
        <v/>
      </c>
      <c r="Y353" s="20" t="str">
        <f aca="false">IF(A353="","",N(G353)-N(L353)-N(N353))</f>
        <v/>
      </c>
      <c r="Z353" s="21" t="str">
        <f aca="false">IF(OR(G353="",H353="",I353=""),"",ABS(H353-I353)*G353)</f>
        <v/>
      </c>
      <c r="AA353" s="22" t="str">
        <f aca="false">IF(OR(J353="",N(Z353)=0),"",ABS(J353-H353)/ABS(H353-I353))</f>
        <v/>
      </c>
      <c r="AB353" s="23" t="str">
        <f aca="false">IF(U353&lt;&gt;"Closed","",(N(L353)*N(M353)+N(N353)*N(O353)+Y353*Q353)/G353)</f>
        <v/>
      </c>
      <c r="AC353" s="24" t="str">
        <f aca="false">IF(U353&lt;&gt;"Closed","",IF($B353="Short",-1,1)*((N(M353)-H353)*N(L353)+(N(O353)-H353)*N(N353)+(Q353-H353)*Y353)-N(R353))</f>
        <v/>
      </c>
      <c r="AD353" s="25" t="str">
        <f aca="false">IF(OR(AC353="",N(Z353)=0),"",AC353/Z353)</f>
        <v/>
      </c>
      <c r="AE353" s="25" t="str">
        <f aca="false">IF(OR(S353="",N(Z353)=0),"",IF($B353="Short",-1,1)*(S353-H353)*G353/Z353)</f>
        <v/>
      </c>
      <c r="AF353" s="25" t="str">
        <f aca="false">IF(OR(T353="",N(Z353)=0),"",IF($B353="Short",-1,1)*(T353-H353)*G353/Z353)</f>
        <v/>
      </c>
      <c r="AG353" s="21" t="str">
        <f aca="false">IF(U353&lt;&gt;"Open","",Y353*MAX(0,IF($B353="Short",-1,1)*(H353-IF(K353="",I353,K353))))</f>
        <v/>
      </c>
      <c r="AH353" s="26" t="str">
        <f aca="false">IF(U353&lt;&gt;"Closed","",DATE(YEAR(P353),MONTH(P353),1))</f>
        <v/>
      </c>
      <c r="AI353" s="19" t="str">
        <f aca="false">IF(U353&lt;&gt;"Closed","",COUNTIFS($U$7:$U$506,"Closed",$P$7:$P$506,"&lt;"&amp;P353)+COUNTIFS($U$7:U353,"Closed",$P$7:P353,P353))</f>
        <v/>
      </c>
    </row>
    <row r="354" customFormat="false" ht="15" hidden="false" customHeight="false" outlineLevel="0" collapsed="false">
      <c r="A354" s="13"/>
      <c r="B354" s="48"/>
      <c r="C354" s="48"/>
      <c r="D354" s="48"/>
      <c r="E354" s="15"/>
      <c r="F354" s="15"/>
      <c r="G354" s="16"/>
      <c r="H354" s="17"/>
      <c r="I354" s="17"/>
      <c r="J354" s="17"/>
      <c r="K354" s="17"/>
      <c r="L354" s="16"/>
      <c r="M354" s="17"/>
      <c r="N354" s="16"/>
      <c r="O354" s="17"/>
      <c r="P354" s="15"/>
      <c r="Q354" s="17"/>
      <c r="R354" s="17"/>
      <c r="S354" s="17"/>
      <c r="T354" s="17"/>
      <c r="U354" s="18" t="str">
        <f aca="false">IF(A354="","",IF(N(G354)-N(L354)-N(N354)&lt;0,"Check shares",IF(AND(P354&lt;&gt;"",Q354&lt;&gt;""),"Closed","Open")))</f>
        <v/>
      </c>
      <c r="V354" s="19" t="str">
        <f aca="false">IF(OR(F354="",P354=""),"",NETWORKDAYS(F354,P354,Lists!$F$5:$F$40)-1)</f>
        <v/>
      </c>
      <c r="W354" s="18" t="str">
        <f aca="false">IF(V354="","",IF(V354=0,"Same day","Overnight"))</f>
        <v/>
      </c>
      <c r="X354" s="18" t="str">
        <f aca="false">IF(OR(E354="",F354=""),"",IF(AND(E354&gt;=F354,OR(P354="",E354&lt;=P354)),"Yes","No"))</f>
        <v/>
      </c>
      <c r="Y354" s="20" t="str">
        <f aca="false">IF(A354="","",N(G354)-N(L354)-N(N354))</f>
        <v/>
      </c>
      <c r="Z354" s="21" t="str">
        <f aca="false">IF(OR(G354="",H354="",I354=""),"",ABS(H354-I354)*G354)</f>
        <v/>
      </c>
      <c r="AA354" s="22" t="str">
        <f aca="false">IF(OR(J354="",N(Z354)=0),"",ABS(J354-H354)/ABS(H354-I354))</f>
        <v/>
      </c>
      <c r="AB354" s="23" t="str">
        <f aca="false">IF(U354&lt;&gt;"Closed","",(N(L354)*N(M354)+N(N354)*N(O354)+Y354*Q354)/G354)</f>
        <v/>
      </c>
      <c r="AC354" s="24" t="str">
        <f aca="false">IF(U354&lt;&gt;"Closed","",IF($B354="Short",-1,1)*((N(M354)-H354)*N(L354)+(N(O354)-H354)*N(N354)+(Q354-H354)*Y354)-N(R354))</f>
        <v/>
      </c>
      <c r="AD354" s="25" t="str">
        <f aca="false">IF(OR(AC354="",N(Z354)=0),"",AC354/Z354)</f>
        <v/>
      </c>
      <c r="AE354" s="25" t="str">
        <f aca="false">IF(OR(S354="",N(Z354)=0),"",IF($B354="Short",-1,1)*(S354-H354)*G354/Z354)</f>
        <v/>
      </c>
      <c r="AF354" s="25" t="str">
        <f aca="false">IF(OR(T354="",N(Z354)=0),"",IF($B354="Short",-1,1)*(T354-H354)*G354/Z354)</f>
        <v/>
      </c>
      <c r="AG354" s="21" t="str">
        <f aca="false">IF(U354&lt;&gt;"Open","",Y354*MAX(0,IF($B354="Short",-1,1)*(H354-IF(K354="",I354,K354))))</f>
        <v/>
      </c>
      <c r="AH354" s="26" t="str">
        <f aca="false">IF(U354&lt;&gt;"Closed","",DATE(YEAR(P354),MONTH(P354),1))</f>
        <v/>
      </c>
      <c r="AI354" s="19" t="str">
        <f aca="false">IF(U354&lt;&gt;"Closed","",COUNTIFS($U$7:$U$506,"Closed",$P$7:$P$506,"&lt;"&amp;P354)+COUNTIFS($U$7:U354,"Closed",$P$7:P354,P354))</f>
        <v/>
      </c>
    </row>
    <row r="355" customFormat="false" ht="15" hidden="false" customHeight="false" outlineLevel="0" collapsed="false">
      <c r="A355" s="13"/>
      <c r="B355" s="48"/>
      <c r="C355" s="48"/>
      <c r="D355" s="48"/>
      <c r="E355" s="15"/>
      <c r="F355" s="15"/>
      <c r="G355" s="16"/>
      <c r="H355" s="17"/>
      <c r="I355" s="17"/>
      <c r="J355" s="17"/>
      <c r="K355" s="17"/>
      <c r="L355" s="16"/>
      <c r="M355" s="17"/>
      <c r="N355" s="16"/>
      <c r="O355" s="17"/>
      <c r="P355" s="15"/>
      <c r="Q355" s="17"/>
      <c r="R355" s="17"/>
      <c r="S355" s="17"/>
      <c r="T355" s="17"/>
      <c r="U355" s="18" t="str">
        <f aca="false">IF(A355="","",IF(N(G355)-N(L355)-N(N355)&lt;0,"Check shares",IF(AND(P355&lt;&gt;"",Q355&lt;&gt;""),"Closed","Open")))</f>
        <v/>
      </c>
      <c r="V355" s="19" t="str">
        <f aca="false">IF(OR(F355="",P355=""),"",NETWORKDAYS(F355,P355,Lists!$F$5:$F$40)-1)</f>
        <v/>
      </c>
      <c r="W355" s="18" t="str">
        <f aca="false">IF(V355="","",IF(V355=0,"Same day","Overnight"))</f>
        <v/>
      </c>
      <c r="X355" s="18" t="str">
        <f aca="false">IF(OR(E355="",F355=""),"",IF(AND(E355&gt;=F355,OR(P355="",E355&lt;=P355)),"Yes","No"))</f>
        <v/>
      </c>
      <c r="Y355" s="20" t="str">
        <f aca="false">IF(A355="","",N(G355)-N(L355)-N(N355))</f>
        <v/>
      </c>
      <c r="Z355" s="21" t="str">
        <f aca="false">IF(OR(G355="",H355="",I355=""),"",ABS(H355-I355)*G355)</f>
        <v/>
      </c>
      <c r="AA355" s="22" t="str">
        <f aca="false">IF(OR(J355="",N(Z355)=0),"",ABS(J355-H355)/ABS(H355-I355))</f>
        <v/>
      </c>
      <c r="AB355" s="23" t="str">
        <f aca="false">IF(U355&lt;&gt;"Closed","",(N(L355)*N(M355)+N(N355)*N(O355)+Y355*Q355)/G355)</f>
        <v/>
      </c>
      <c r="AC355" s="24" t="str">
        <f aca="false">IF(U355&lt;&gt;"Closed","",IF($B355="Short",-1,1)*((N(M355)-H355)*N(L355)+(N(O355)-H355)*N(N355)+(Q355-H355)*Y355)-N(R355))</f>
        <v/>
      </c>
      <c r="AD355" s="25" t="str">
        <f aca="false">IF(OR(AC355="",N(Z355)=0),"",AC355/Z355)</f>
        <v/>
      </c>
      <c r="AE355" s="25" t="str">
        <f aca="false">IF(OR(S355="",N(Z355)=0),"",IF($B355="Short",-1,1)*(S355-H355)*G355/Z355)</f>
        <v/>
      </c>
      <c r="AF355" s="25" t="str">
        <f aca="false">IF(OR(T355="",N(Z355)=0),"",IF($B355="Short",-1,1)*(T355-H355)*G355/Z355)</f>
        <v/>
      </c>
      <c r="AG355" s="21" t="str">
        <f aca="false">IF(U355&lt;&gt;"Open","",Y355*MAX(0,IF($B355="Short",-1,1)*(H355-IF(K355="",I355,K355))))</f>
        <v/>
      </c>
      <c r="AH355" s="26" t="str">
        <f aca="false">IF(U355&lt;&gt;"Closed","",DATE(YEAR(P355),MONTH(P355),1))</f>
        <v/>
      </c>
      <c r="AI355" s="19" t="str">
        <f aca="false">IF(U355&lt;&gt;"Closed","",COUNTIFS($U$7:$U$506,"Closed",$P$7:$P$506,"&lt;"&amp;P355)+COUNTIFS($U$7:U355,"Closed",$P$7:P355,P355))</f>
        <v/>
      </c>
    </row>
    <row r="356" customFormat="false" ht="15" hidden="false" customHeight="false" outlineLevel="0" collapsed="false">
      <c r="A356" s="13"/>
      <c r="B356" s="48"/>
      <c r="C356" s="48"/>
      <c r="D356" s="48"/>
      <c r="E356" s="15"/>
      <c r="F356" s="15"/>
      <c r="G356" s="16"/>
      <c r="H356" s="17"/>
      <c r="I356" s="17"/>
      <c r="J356" s="17"/>
      <c r="K356" s="17"/>
      <c r="L356" s="16"/>
      <c r="M356" s="17"/>
      <c r="N356" s="16"/>
      <c r="O356" s="17"/>
      <c r="P356" s="15"/>
      <c r="Q356" s="17"/>
      <c r="R356" s="17"/>
      <c r="S356" s="17"/>
      <c r="T356" s="17"/>
      <c r="U356" s="18" t="str">
        <f aca="false">IF(A356="","",IF(N(G356)-N(L356)-N(N356)&lt;0,"Check shares",IF(AND(P356&lt;&gt;"",Q356&lt;&gt;""),"Closed","Open")))</f>
        <v/>
      </c>
      <c r="V356" s="19" t="str">
        <f aca="false">IF(OR(F356="",P356=""),"",NETWORKDAYS(F356,P356,Lists!$F$5:$F$40)-1)</f>
        <v/>
      </c>
      <c r="W356" s="18" t="str">
        <f aca="false">IF(V356="","",IF(V356=0,"Same day","Overnight"))</f>
        <v/>
      </c>
      <c r="X356" s="18" t="str">
        <f aca="false">IF(OR(E356="",F356=""),"",IF(AND(E356&gt;=F356,OR(P356="",E356&lt;=P356)),"Yes","No"))</f>
        <v/>
      </c>
      <c r="Y356" s="20" t="str">
        <f aca="false">IF(A356="","",N(G356)-N(L356)-N(N356))</f>
        <v/>
      </c>
      <c r="Z356" s="21" t="str">
        <f aca="false">IF(OR(G356="",H356="",I356=""),"",ABS(H356-I356)*G356)</f>
        <v/>
      </c>
      <c r="AA356" s="22" t="str">
        <f aca="false">IF(OR(J356="",N(Z356)=0),"",ABS(J356-H356)/ABS(H356-I356))</f>
        <v/>
      </c>
      <c r="AB356" s="23" t="str">
        <f aca="false">IF(U356&lt;&gt;"Closed","",(N(L356)*N(M356)+N(N356)*N(O356)+Y356*Q356)/G356)</f>
        <v/>
      </c>
      <c r="AC356" s="24" t="str">
        <f aca="false">IF(U356&lt;&gt;"Closed","",IF($B356="Short",-1,1)*((N(M356)-H356)*N(L356)+(N(O356)-H356)*N(N356)+(Q356-H356)*Y356)-N(R356))</f>
        <v/>
      </c>
      <c r="AD356" s="25" t="str">
        <f aca="false">IF(OR(AC356="",N(Z356)=0),"",AC356/Z356)</f>
        <v/>
      </c>
      <c r="AE356" s="25" t="str">
        <f aca="false">IF(OR(S356="",N(Z356)=0),"",IF($B356="Short",-1,1)*(S356-H356)*G356/Z356)</f>
        <v/>
      </c>
      <c r="AF356" s="25" t="str">
        <f aca="false">IF(OR(T356="",N(Z356)=0),"",IF($B356="Short",-1,1)*(T356-H356)*G356/Z356)</f>
        <v/>
      </c>
      <c r="AG356" s="21" t="str">
        <f aca="false">IF(U356&lt;&gt;"Open","",Y356*MAX(0,IF($B356="Short",-1,1)*(H356-IF(K356="",I356,K356))))</f>
        <v/>
      </c>
      <c r="AH356" s="26" t="str">
        <f aca="false">IF(U356&lt;&gt;"Closed","",DATE(YEAR(P356),MONTH(P356),1))</f>
        <v/>
      </c>
      <c r="AI356" s="19" t="str">
        <f aca="false">IF(U356&lt;&gt;"Closed","",COUNTIFS($U$7:$U$506,"Closed",$P$7:$P$506,"&lt;"&amp;P356)+COUNTIFS($U$7:U356,"Closed",$P$7:P356,P356))</f>
        <v/>
      </c>
    </row>
    <row r="357" customFormat="false" ht="15" hidden="false" customHeight="false" outlineLevel="0" collapsed="false">
      <c r="A357" s="13"/>
      <c r="B357" s="48"/>
      <c r="C357" s="48"/>
      <c r="D357" s="48"/>
      <c r="E357" s="15"/>
      <c r="F357" s="15"/>
      <c r="G357" s="16"/>
      <c r="H357" s="17"/>
      <c r="I357" s="17"/>
      <c r="J357" s="17"/>
      <c r="K357" s="17"/>
      <c r="L357" s="16"/>
      <c r="M357" s="17"/>
      <c r="N357" s="16"/>
      <c r="O357" s="17"/>
      <c r="P357" s="15"/>
      <c r="Q357" s="17"/>
      <c r="R357" s="17"/>
      <c r="S357" s="17"/>
      <c r="T357" s="17"/>
      <c r="U357" s="18" t="str">
        <f aca="false">IF(A357="","",IF(N(G357)-N(L357)-N(N357)&lt;0,"Check shares",IF(AND(P357&lt;&gt;"",Q357&lt;&gt;""),"Closed","Open")))</f>
        <v/>
      </c>
      <c r="V357" s="19" t="str">
        <f aca="false">IF(OR(F357="",P357=""),"",NETWORKDAYS(F357,P357,Lists!$F$5:$F$40)-1)</f>
        <v/>
      </c>
      <c r="W357" s="18" t="str">
        <f aca="false">IF(V357="","",IF(V357=0,"Same day","Overnight"))</f>
        <v/>
      </c>
      <c r="X357" s="18" t="str">
        <f aca="false">IF(OR(E357="",F357=""),"",IF(AND(E357&gt;=F357,OR(P357="",E357&lt;=P357)),"Yes","No"))</f>
        <v/>
      </c>
      <c r="Y357" s="20" t="str">
        <f aca="false">IF(A357="","",N(G357)-N(L357)-N(N357))</f>
        <v/>
      </c>
      <c r="Z357" s="21" t="str">
        <f aca="false">IF(OR(G357="",H357="",I357=""),"",ABS(H357-I357)*G357)</f>
        <v/>
      </c>
      <c r="AA357" s="22" t="str">
        <f aca="false">IF(OR(J357="",N(Z357)=0),"",ABS(J357-H357)/ABS(H357-I357))</f>
        <v/>
      </c>
      <c r="AB357" s="23" t="str">
        <f aca="false">IF(U357&lt;&gt;"Closed","",(N(L357)*N(M357)+N(N357)*N(O357)+Y357*Q357)/G357)</f>
        <v/>
      </c>
      <c r="AC357" s="24" t="str">
        <f aca="false">IF(U357&lt;&gt;"Closed","",IF($B357="Short",-1,1)*((N(M357)-H357)*N(L357)+(N(O357)-H357)*N(N357)+(Q357-H357)*Y357)-N(R357))</f>
        <v/>
      </c>
      <c r="AD357" s="25" t="str">
        <f aca="false">IF(OR(AC357="",N(Z357)=0),"",AC357/Z357)</f>
        <v/>
      </c>
      <c r="AE357" s="25" t="str">
        <f aca="false">IF(OR(S357="",N(Z357)=0),"",IF($B357="Short",-1,1)*(S357-H357)*G357/Z357)</f>
        <v/>
      </c>
      <c r="AF357" s="25" t="str">
        <f aca="false">IF(OR(T357="",N(Z357)=0),"",IF($B357="Short",-1,1)*(T357-H357)*G357/Z357)</f>
        <v/>
      </c>
      <c r="AG357" s="21" t="str">
        <f aca="false">IF(U357&lt;&gt;"Open","",Y357*MAX(0,IF($B357="Short",-1,1)*(H357-IF(K357="",I357,K357))))</f>
        <v/>
      </c>
      <c r="AH357" s="26" t="str">
        <f aca="false">IF(U357&lt;&gt;"Closed","",DATE(YEAR(P357),MONTH(P357),1))</f>
        <v/>
      </c>
      <c r="AI357" s="19" t="str">
        <f aca="false">IF(U357&lt;&gt;"Closed","",COUNTIFS($U$7:$U$506,"Closed",$P$7:$P$506,"&lt;"&amp;P357)+COUNTIFS($U$7:U357,"Closed",$P$7:P357,P357))</f>
        <v/>
      </c>
    </row>
    <row r="358" customFormat="false" ht="15" hidden="false" customHeight="false" outlineLevel="0" collapsed="false">
      <c r="A358" s="13"/>
      <c r="B358" s="48"/>
      <c r="C358" s="48"/>
      <c r="D358" s="48"/>
      <c r="E358" s="15"/>
      <c r="F358" s="15"/>
      <c r="G358" s="16"/>
      <c r="H358" s="17"/>
      <c r="I358" s="17"/>
      <c r="J358" s="17"/>
      <c r="K358" s="17"/>
      <c r="L358" s="16"/>
      <c r="M358" s="17"/>
      <c r="N358" s="16"/>
      <c r="O358" s="17"/>
      <c r="P358" s="15"/>
      <c r="Q358" s="17"/>
      <c r="R358" s="17"/>
      <c r="S358" s="17"/>
      <c r="T358" s="17"/>
      <c r="U358" s="18" t="str">
        <f aca="false">IF(A358="","",IF(N(G358)-N(L358)-N(N358)&lt;0,"Check shares",IF(AND(P358&lt;&gt;"",Q358&lt;&gt;""),"Closed","Open")))</f>
        <v/>
      </c>
      <c r="V358" s="19" t="str">
        <f aca="false">IF(OR(F358="",P358=""),"",NETWORKDAYS(F358,P358,Lists!$F$5:$F$40)-1)</f>
        <v/>
      </c>
      <c r="W358" s="18" t="str">
        <f aca="false">IF(V358="","",IF(V358=0,"Same day","Overnight"))</f>
        <v/>
      </c>
      <c r="X358" s="18" t="str">
        <f aca="false">IF(OR(E358="",F358=""),"",IF(AND(E358&gt;=F358,OR(P358="",E358&lt;=P358)),"Yes","No"))</f>
        <v/>
      </c>
      <c r="Y358" s="20" t="str">
        <f aca="false">IF(A358="","",N(G358)-N(L358)-N(N358))</f>
        <v/>
      </c>
      <c r="Z358" s="21" t="str">
        <f aca="false">IF(OR(G358="",H358="",I358=""),"",ABS(H358-I358)*G358)</f>
        <v/>
      </c>
      <c r="AA358" s="22" t="str">
        <f aca="false">IF(OR(J358="",N(Z358)=0),"",ABS(J358-H358)/ABS(H358-I358))</f>
        <v/>
      </c>
      <c r="AB358" s="23" t="str">
        <f aca="false">IF(U358&lt;&gt;"Closed","",(N(L358)*N(M358)+N(N358)*N(O358)+Y358*Q358)/G358)</f>
        <v/>
      </c>
      <c r="AC358" s="24" t="str">
        <f aca="false">IF(U358&lt;&gt;"Closed","",IF($B358="Short",-1,1)*((N(M358)-H358)*N(L358)+(N(O358)-H358)*N(N358)+(Q358-H358)*Y358)-N(R358))</f>
        <v/>
      </c>
      <c r="AD358" s="25" t="str">
        <f aca="false">IF(OR(AC358="",N(Z358)=0),"",AC358/Z358)</f>
        <v/>
      </c>
      <c r="AE358" s="25" t="str">
        <f aca="false">IF(OR(S358="",N(Z358)=0),"",IF($B358="Short",-1,1)*(S358-H358)*G358/Z358)</f>
        <v/>
      </c>
      <c r="AF358" s="25" t="str">
        <f aca="false">IF(OR(T358="",N(Z358)=0),"",IF($B358="Short",-1,1)*(T358-H358)*G358/Z358)</f>
        <v/>
      </c>
      <c r="AG358" s="21" t="str">
        <f aca="false">IF(U358&lt;&gt;"Open","",Y358*MAX(0,IF($B358="Short",-1,1)*(H358-IF(K358="",I358,K358))))</f>
        <v/>
      </c>
      <c r="AH358" s="26" t="str">
        <f aca="false">IF(U358&lt;&gt;"Closed","",DATE(YEAR(P358),MONTH(P358),1))</f>
        <v/>
      </c>
      <c r="AI358" s="19" t="str">
        <f aca="false">IF(U358&lt;&gt;"Closed","",COUNTIFS($U$7:$U$506,"Closed",$P$7:$P$506,"&lt;"&amp;P358)+COUNTIFS($U$7:U358,"Closed",$P$7:P358,P358))</f>
        <v/>
      </c>
    </row>
    <row r="359" customFormat="false" ht="15" hidden="false" customHeight="false" outlineLevel="0" collapsed="false">
      <c r="A359" s="13"/>
      <c r="B359" s="48"/>
      <c r="C359" s="48"/>
      <c r="D359" s="48"/>
      <c r="E359" s="15"/>
      <c r="F359" s="15"/>
      <c r="G359" s="16"/>
      <c r="H359" s="17"/>
      <c r="I359" s="17"/>
      <c r="J359" s="17"/>
      <c r="K359" s="17"/>
      <c r="L359" s="16"/>
      <c r="M359" s="17"/>
      <c r="N359" s="16"/>
      <c r="O359" s="17"/>
      <c r="P359" s="15"/>
      <c r="Q359" s="17"/>
      <c r="R359" s="17"/>
      <c r="S359" s="17"/>
      <c r="T359" s="17"/>
      <c r="U359" s="18" t="str">
        <f aca="false">IF(A359="","",IF(N(G359)-N(L359)-N(N359)&lt;0,"Check shares",IF(AND(P359&lt;&gt;"",Q359&lt;&gt;""),"Closed","Open")))</f>
        <v/>
      </c>
      <c r="V359" s="19" t="str">
        <f aca="false">IF(OR(F359="",P359=""),"",NETWORKDAYS(F359,P359,Lists!$F$5:$F$40)-1)</f>
        <v/>
      </c>
      <c r="W359" s="18" t="str">
        <f aca="false">IF(V359="","",IF(V359=0,"Same day","Overnight"))</f>
        <v/>
      </c>
      <c r="X359" s="18" t="str">
        <f aca="false">IF(OR(E359="",F359=""),"",IF(AND(E359&gt;=F359,OR(P359="",E359&lt;=P359)),"Yes","No"))</f>
        <v/>
      </c>
      <c r="Y359" s="20" t="str">
        <f aca="false">IF(A359="","",N(G359)-N(L359)-N(N359))</f>
        <v/>
      </c>
      <c r="Z359" s="21" t="str">
        <f aca="false">IF(OR(G359="",H359="",I359=""),"",ABS(H359-I359)*G359)</f>
        <v/>
      </c>
      <c r="AA359" s="22" t="str">
        <f aca="false">IF(OR(J359="",N(Z359)=0),"",ABS(J359-H359)/ABS(H359-I359))</f>
        <v/>
      </c>
      <c r="AB359" s="23" t="str">
        <f aca="false">IF(U359&lt;&gt;"Closed","",(N(L359)*N(M359)+N(N359)*N(O359)+Y359*Q359)/G359)</f>
        <v/>
      </c>
      <c r="AC359" s="24" t="str">
        <f aca="false">IF(U359&lt;&gt;"Closed","",IF($B359="Short",-1,1)*((N(M359)-H359)*N(L359)+(N(O359)-H359)*N(N359)+(Q359-H359)*Y359)-N(R359))</f>
        <v/>
      </c>
      <c r="AD359" s="25" t="str">
        <f aca="false">IF(OR(AC359="",N(Z359)=0),"",AC359/Z359)</f>
        <v/>
      </c>
      <c r="AE359" s="25" t="str">
        <f aca="false">IF(OR(S359="",N(Z359)=0),"",IF($B359="Short",-1,1)*(S359-H359)*G359/Z359)</f>
        <v/>
      </c>
      <c r="AF359" s="25" t="str">
        <f aca="false">IF(OR(T359="",N(Z359)=0),"",IF($B359="Short",-1,1)*(T359-H359)*G359/Z359)</f>
        <v/>
      </c>
      <c r="AG359" s="21" t="str">
        <f aca="false">IF(U359&lt;&gt;"Open","",Y359*MAX(0,IF($B359="Short",-1,1)*(H359-IF(K359="",I359,K359))))</f>
        <v/>
      </c>
      <c r="AH359" s="26" t="str">
        <f aca="false">IF(U359&lt;&gt;"Closed","",DATE(YEAR(P359),MONTH(P359),1))</f>
        <v/>
      </c>
      <c r="AI359" s="19" t="str">
        <f aca="false">IF(U359&lt;&gt;"Closed","",COUNTIFS($U$7:$U$506,"Closed",$P$7:$P$506,"&lt;"&amp;P359)+COUNTIFS($U$7:U359,"Closed",$P$7:P359,P359))</f>
        <v/>
      </c>
    </row>
    <row r="360" customFormat="false" ht="15" hidden="false" customHeight="false" outlineLevel="0" collapsed="false">
      <c r="A360" s="13"/>
      <c r="B360" s="48"/>
      <c r="C360" s="48"/>
      <c r="D360" s="48"/>
      <c r="E360" s="15"/>
      <c r="F360" s="15"/>
      <c r="G360" s="16"/>
      <c r="H360" s="17"/>
      <c r="I360" s="17"/>
      <c r="J360" s="17"/>
      <c r="K360" s="17"/>
      <c r="L360" s="16"/>
      <c r="M360" s="17"/>
      <c r="N360" s="16"/>
      <c r="O360" s="17"/>
      <c r="P360" s="15"/>
      <c r="Q360" s="17"/>
      <c r="R360" s="17"/>
      <c r="S360" s="17"/>
      <c r="T360" s="17"/>
      <c r="U360" s="18" t="str">
        <f aca="false">IF(A360="","",IF(N(G360)-N(L360)-N(N360)&lt;0,"Check shares",IF(AND(P360&lt;&gt;"",Q360&lt;&gt;""),"Closed","Open")))</f>
        <v/>
      </c>
      <c r="V360" s="19" t="str">
        <f aca="false">IF(OR(F360="",P360=""),"",NETWORKDAYS(F360,P360,Lists!$F$5:$F$40)-1)</f>
        <v/>
      </c>
      <c r="W360" s="18" t="str">
        <f aca="false">IF(V360="","",IF(V360=0,"Same day","Overnight"))</f>
        <v/>
      </c>
      <c r="X360" s="18" t="str">
        <f aca="false">IF(OR(E360="",F360=""),"",IF(AND(E360&gt;=F360,OR(P360="",E360&lt;=P360)),"Yes","No"))</f>
        <v/>
      </c>
      <c r="Y360" s="20" t="str">
        <f aca="false">IF(A360="","",N(G360)-N(L360)-N(N360))</f>
        <v/>
      </c>
      <c r="Z360" s="21" t="str">
        <f aca="false">IF(OR(G360="",H360="",I360=""),"",ABS(H360-I360)*G360)</f>
        <v/>
      </c>
      <c r="AA360" s="22" t="str">
        <f aca="false">IF(OR(J360="",N(Z360)=0),"",ABS(J360-H360)/ABS(H360-I360))</f>
        <v/>
      </c>
      <c r="AB360" s="23" t="str">
        <f aca="false">IF(U360&lt;&gt;"Closed","",(N(L360)*N(M360)+N(N360)*N(O360)+Y360*Q360)/G360)</f>
        <v/>
      </c>
      <c r="AC360" s="24" t="str">
        <f aca="false">IF(U360&lt;&gt;"Closed","",IF($B360="Short",-1,1)*((N(M360)-H360)*N(L360)+(N(O360)-H360)*N(N360)+(Q360-H360)*Y360)-N(R360))</f>
        <v/>
      </c>
      <c r="AD360" s="25" t="str">
        <f aca="false">IF(OR(AC360="",N(Z360)=0),"",AC360/Z360)</f>
        <v/>
      </c>
      <c r="AE360" s="25" t="str">
        <f aca="false">IF(OR(S360="",N(Z360)=0),"",IF($B360="Short",-1,1)*(S360-H360)*G360/Z360)</f>
        <v/>
      </c>
      <c r="AF360" s="25" t="str">
        <f aca="false">IF(OR(T360="",N(Z360)=0),"",IF($B360="Short",-1,1)*(T360-H360)*G360/Z360)</f>
        <v/>
      </c>
      <c r="AG360" s="21" t="str">
        <f aca="false">IF(U360&lt;&gt;"Open","",Y360*MAX(0,IF($B360="Short",-1,1)*(H360-IF(K360="",I360,K360))))</f>
        <v/>
      </c>
      <c r="AH360" s="26" t="str">
        <f aca="false">IF(U360&lt;&gt;"Closed","",DATE(YEAR(P360),MONTH(P360),1))</f>
        <v/>
      </c>
      <c r="AI360" s="19" t="str">
        <f aca="false">IF(U360&lt;&gt;"Closed","",COUNTIFS($U$7:$U$506,"Closed",$P$7:$P$506,"&lt;"&amp;P360)+COUNTIFS($U$7:U360,"Closed",$P$7:P360,P360))</f>
        <v/>
      </c>
    </row>
    <row r="361" customFormat="false" ht="15" hidden="false" customHeight="false" outlineLevel="0" collapsed="false">
      <c r="A361" s="13"/>
      <c r="B361" s="48"/>
      <c r="C361" s="48"/>
      <c r="D361" s="48"/>
      <c r="E361" s="15"/>
      <c r="F361" s="15"/>
      <c r="G361" s="16"/>
      <c r="H361" s="17"/>
      <c r="I361" s="17"/>
      <c r="J361" s="17"/>
      <c r="K361" s="17"/>
      <c r="L361" s="16"/>
      <c r="M361" s="17"/>
      <c r="N361" s="16"/>
      <c r="O361" s="17"/>
      <c r="P361" s="15"/>
      <c r="Q361" s="17"/>
      <c r="R361" s="17"/>
      <c r="S361" s="17"/>
      <c r="T361" s="17"/>
      <c r="U361" s="18" t="str">
        <f aca="false">IF(A361="","",IF(N(G361)-N(L361)-N(N361)&lt;0,"Check shares",IF(AND(P361&lt;&gt;"",Q361&lt;&gt;""),"Closed","Open")))</f>
        <v/>
      </c>
      <c r="V361" s="19" t="str">
        <f aca="false">IF(OR(F361="",P361=""),"",NETWORKDAYS(F361,P361,Lists!$F$5:$F$40)-1)</f>
        <v/>
      </c>
      <c r="W361" s="18" t="str">
        <f aca="false">IF(V361="","",IF(V361=0,"Same day","Overnight"))</f>
        <v/>
      </c>
      <c r="X361" s="18" t="str">
        <f aca="false">IF(OR(E361="",F361=""),"",IF(AND(E361&gt;=F361,OR(P361="",E361&lt;=P361)),"Yes","No"))</f>
        <v/>
      </c>
      <c r="Y361" s="20" t="str">
        <f aca="false">IF(A361="","",N(G361)-N(L361)-N(N361))</f>
        <v/>
      </c>
      <c r="Z361" s="21" t="str">
        <f aca="false">IF(OR(G361="",H361="",I361=""),"",ABS(H361-I361)*G361)</f>
        <v/>
      </c>
      <c r="AA361" s="22" t="str">
        <f aca="false">IF(OR(J361="",N(Z361)=0),"",ABS(J361-H361)/ABS(H361-I361))</f>
        <v/>
      </c>
      <c r="AB361" s="23" t="str">
        <f aca="false">IF(U361&lt;&gt;"Closed","",(N(L361)*N(M361)+N(N361)*N(O361)+Y361*Q361)/G361)</f>
        <v/>
      </c>
      <c r="AC361" s="24" t="str">
        <f aca="false">IF(U361&lt;&gt;"Closed","",IF($B361="Short",-1,1)*((N(M361)-H361)*N(L361)+(N(O361)-H361)*N(N361)+(Q361-H361)*Y361)-N(R361))</f>
        <v/>
      </c>
      <c r="AD361" s="25" t="str">
        <f aca="false">IF(OR(AC361="",N(Z361)=0),"",AC361/Z361)</f>
        <v/>
      </c>
      <c r="AE361" s="25" t="str">
        <f aca="false">IF(OR(S361="",N(Z361)=0),"",IF($B361="Short",-1,1)*(S361-H361)*G361/Z361)</f>
        <v/>
      </c>
      <c r="AF361" s="25" t="str">
        <f aca="false">IF(OR(T361="",N(Z361)=0),"",IF($B361="Short",-1,1)*(T361-H361)*G361/Z361)</f>
        <v/>
      </c>
      <c r="AG361" s="21" t="str">
        <f aca="false">IF(U361&lt;&gt;"Open","",Y361*MAX(0,IF($B361="Short",-1,1)*(H361-IF(K361="",I361,K361))))</f>
        <v/>
      </c>
      <c r="AH361" s="26" t="str">
        <f aca="false">IF(U361&lt;&gt;"Closed","",DATE(YEAR(P361),MONTH(P361),1))</f>
        <v/>
      </c>
      <c r="AI361" s="19" t="str">
        <f aca="false">IF(U361&lt;&gt;"Closed","",COUNTIFS($U$7:$U$506,"Closed",$P$7:$P$506,"&lt;"&amp;P361)+COUNTIFS($U$7:U361,"Closed",$P$7:P361,P361))</f>
        <v/>
      </c>
    </row>
    <row r="362" customFormat="false" ht="15" hidden="false" customHeight="false" outlineLevel="0" collapsed="false">
      <c r="A362" s="13"/>
      <c r="B362" s="48"/>
      <c r="C362" s="48"/>
      <c r="D362" s="48"/>
      <c r="E362" s="15"/>
      <c r="F362" s="15"/>
      <c r="G362" s="16"/>
      <c r="H362" s="17"/>
      <c r="I362" s="17"/>
      <c r="J362" s="17"/>
      <c r="K362" s="17"/>
      <c r="L362" s="16"/>
      <c r="M362" s="17"/>
      <c r="N362" s="16"/>
      <c r="O362" s="17"/>
      <c r="P362" s="15"/>
      <c r="Q362" s="17"/>
      <c r="R362" s="17"/>
      <c r="S362" s="17"/>
      <c r="T362" s="17"/>
      <c r="U362" s="18" t="str">
        <f aca="false">IF(A362="","",IF(N(G362)-N(L362)-N(N362)&lt;0,"Check shares",IF(AND(P362&lt;&gt;"",Q362&lt;&gt;""),"Closed","Open")))</f>
        <v/>
      </c>
      <c r="V362" s="19" t="str">
        <f aca="false">IF(OR(F362="",P362=""),"",NETWORKDAYS(F362,P362,Lists!$F$5:$F$40)-1)</f>
        <v/>
      </c>
      <c r="W362" s="18" t="str">
        <f aca="false">IF(V362="","",IF(V362=0,"Same day","Overnight"))</f>
        <v/>
      </c>
      <c r="X362" s="18" t="str">
        <f aca="false">IF(OR(E362="",F362=""),"",IF(AND(E362&gt;=F362,OR(P362="",E362&lt;=P362)),"Yes","No"))</f>
        <v/>
      </c>
      <c r="Y362" s="20" t="str">
        <f aca="false">IF(A362="","",N(G362)-N(L362)-N(N362))</f>
        <v/>
      </c>
      <c r="Z362" s="21" t="str">
        <f aca="false">IF(OR(G362="",H362="",I362=""),"",ABS(H362-I362)*G362)</f>
        <v/>
      </c>
      <c r="AA362" s="22" t="str">
        <f aca="false">IF(OR(J362="",N(Z362)=0),"",ABS(J362-H362)/ABS(H362-I362))</f>
        <v/>
      </c>
      <c r="AB362" s="23" t="str">
        <f aca="false">IF(U362&lt;&gt;"Closed","",(N(L362)*N(M362)+N(N362)*N(O362)+Y362*Q362)/G362)</f>
        <v/>
      </c>
      <c r="AC362" s="24" t="str">
        <f aca="false">IF(U362&lt;&gt;"Closed","",IF($B362="Short",-1,1)*((N(M362)-H362)*N(L362)+(N(O362)-H362)*N(N362)+(Q362-H362)*Y362)-N(R362))</f>
        <v/>
      </c>
      <c r="AD362" s="25" t="str">
        <f aca="false">IF(OR(AC362="",N(Z362)=0),"",AC362/Z362)</f>
        <v/>
      </c>
      <c r="AE362" s="25" t="str">
        <f aca="false">IF(OR(S362="",N(Z362)=0),"",IF($B362="Short",-1,1)*(S362-H362)*G362/Z362)</f>
        <v/>
      </c>
      <c r="AF362" s="25" t="str">
        <f aca="false">IF(OR(T362="",N(Z362)=0),"",IF($B362="Short",-1,1)*(T362-H362)*G362/Z362)</f>
        <v/>
      </c>
      <c r="AG362" s="21" t="str">
        <f aca="false">IF(U362&lt;&gt;"Open","",Y362*MAX(0,IF($B362="Short",-1,1)*(H362-IF(K362="",I362,K362))))</f>
        <v/>
      </c>
      <c r="AH362" s="26" t="str">
        <f aca="false">IF(U362&lt;&gt;"Closed","",DATE(YEAR(P362),MONTH(P362),1))</f>
        <v/>
      </c>
      <c r="AI362" s="19" t="str">
        <f aca="false">IF(U362&lt;&gt;"Closed","",COUNTIFS($U$7:$U$506,"Closed",$P$7:$P$506,"&lt;"&amp;P362)+COUNTIFS($U$7:U362,"Closed",$P$7:P362,P362))</f>
        <v/>
      </c>
    </row>
    <row r="363" customFormat="false" ht="15" hidden="false" customHeight="false" outlineLevel="0" collapsed="false">
      <c r="A363" s="13"/>
      <c r="B363" s="48"/>
      <c r="C363" s="48"/>
      <c r="D363" s="48"/>
      <c r="E363" s="15"/>
      <c r="F363" s="15"/>
      <c r="G363" s="16"/>
      <c r="H363" s="17"/>
      <c r="I363" s="17"/>
      <c r="J363" s="17"/>
      <c r="K363" s="17"/>
      <c r="L363" s="16"/>
      <c r="M363" s="17"/>
      <c r="N363" s="16"/>
      <c r="O363" s="17"/>
      <c r="P363" s="15"/>
      <c r="Q363" s="17"/>
      <c r="R363" s="17"/>
      <c r="S363" s="17"/>
      <c r="T363" s="17"/>
      <c r="U363" s="18" t="str">
        <f aca="false">IF(A363="","",IF(N(G363)-N(L363)-N(N363)&lt;0,"Check shares",IF(AND(P363&lt;&gt;"",Q363&lt;&gt;""),"Closed","Open")))</f>
        <v/>
      </c>
      <c r="V363" s="19" t="str">
        <f aca="false">IF(OR(F363="",P363=""),"",NETWORKDAYS(F363,P363,Lists!$F$5:$F$40)-1)</f>
        <v/>
      </c>
      <c r="W363" s="18" t="str">
        <f aca="false">IF(V363="","",IF(V363=0,"Same day","Overnight"))</f>
        <v/>
      </c>
      <c r="X363" s="18" t="str">
        <f aca="false">IF(OR(E363="",F363=""),"",IF(AND(E363&gt;=F363,OR(P363="",E363&lt;=P363)),"Yes","No"))</f>
        <v/>
      </c>
      <c r="Y363" s="20" t="str">
        <f aca="false">IF(A363="","",N(G363)-N(L363)-N(N363))</f>
        <v/>
      </c>
      <c r="Z363" s="21" t="str">
        <f aca="false">IF(OR(G363="",H363="",I363=""),"",ABS(H363-I363)*G363)</f>
        <v/>
      </c>
      <c r="AA363" s="22" t="str">
        <f aca="false">IF(OR(J363="",N(Z363)=0),"",ABS(J363-H363)/ABS(H363-I363))</f>
        <v/>
      </c>
      <c r="AB363" s="23" t="str">
        <f aca="false">IF(U363&lt;&gt;"Closed","",(N(L363)*N(M363)+N(N363)*N(O363)+Y363*Q363)/G363)</f>
        <v/>
      </c>
      <c r="AC363" s="24" t="str">
        <f aca="false">IF(U363&lt;&gt;"Closed","",IF($B363="Short",-1,1)*((N(M363)-H363)*N(L363)+(N(O363)-H363)*N(N363)+(Q363-H363)*Y363)-N(R363))</f>
        <v/>
      </c>
      <c r="AD363" s="25" t="str">
        <f aca="false">IF(OR(AC363="",N(Z363)=0),"",AC363/Z363)</f>
        <v/>
      </c>
      <c r="AE363" s="25" t="str">
        <f aca="false">IF(OR(S363="",N(Z363)=0),"",IF($B363="Short",-1,1)*(S363-H363)*G363/Z363)</f>
        <v/>
      </c>
      <c r="AF363" s="25" t="str">
        <f aca="false">IF(OR(T363="",N(Z363)=0),"",IF($B363="Short",-1,1)*(T363-H363)*G363/Z363)</f>
        <v/>
      </c>
      <c r="AG363" s="21" t="str">
        <f aca="false">IF(U363&lt;&gt;"Open","",Y363*MAX(0,IF($B363="Short",-1,1)*(H363-IF(K363="",I363,K363))))</f>
        <v/>
      </c>
      <c r="AH363" s="26" t="str">
        <f aca="false">IF(U363&lt;&gt;"Closed","",DATE(YEAR(P363),MONTH(P363),1))</f>
        <v/>
      </c>
      <c r="AI363" s="19" t="str">
        <f aca="false">IF(U363&lt;&gt;"Closed","",COUNTIFS($U$7:$U$506,"Closed",$P$7:$P$506,"&lt;"&amp;P363)+COUNTIFS($U$7:U363,"Closed",$P$7:P363,P363))</f>
        <v/>
      </c>
    </row>
    <row r="364" customFormat="false" ht="15" hidden="false" customHeight="false" outlineLevel="0" collapsed="false">
      <c r="A364" s="13"/>
      <c r="B364" s="48"/>
      <c r="C364" s="48"/>
      <c r="D364" s="48"/>
      <c r="E364" s="15"/>
      <c r="F364" s="15"/>
      <c r="G364" s="16"/>
      <c r="H364" s="17"/>
      <c r="I364" s="17"/>
      <c r="J364" s="17"/>
      <c r="K364" s="17"/>
      <c r="L364" s="16"/>
      <c r="M364" s="17"/>
      <c r="N364" s="16"/>
      <c r="O364" s="17"/>
      <c r="P364" s="15"/>
      <c r="Q364" s="17"/>
      <c r="R364" s="17"/>
      <c r="S364" s="17"/>
      <c r="T364" s="17"/>
      <c r="U364" s="18" t="str">
        <f aca="false">IF(A364="","",IF(N(G364)-N(L364)-N(N364)&lt;0,"Check shares",IF(AND(P364&lt;&gt;"",Q364&lt;&gt;""),"Closed","Open")))</f>
        <v/>
      </c>
      <c r="V364" s="19" t="str">
        <f aca="false">IF(OR(F364="",P364=""),"",NETWORKDAYS(F364,P364,Lists!$F$5:$F$40)-1)</f>
        <v/>
      </c>
      <c r="W364" s="18" t="str">
        <f aca="false">IF(V364="","",IF(V364=0,"Same day","Overnight"))</f>
        <v/>
      </c>
      <c r="X364" s="18" t="str">
        <f aca="false">IF(OR(E364="",F364=""),"",IF(AND(E364&gt;=F364,OR(P364="",E364&lt;=P364)),"Yes","No"))</f>
        <v/>
      </c>
      <c r="Y364" s="20" t="str">
        <f aca="false">IF(A364="","",N(G364)-N(L364)-N(N364))</f>
        <v/>
      </c>
      <c r="Z364" s="21" t="str">
        <f aca="false">IF(OR(G364="",H364="",I364=""),"",ABS(H364-I364)*G364)</f>
        <v/>
      </c>
      <c r="AA364" s="22" t="str">
        <f aca="false">IF(OR(J364="",N(Z364)=0),"",ABS(J364-H364)/ABS(H364-I364))</f>
        <v/>
      </c>
      <c r="AB364" s="23" t="str">
        <f aca="false">IF(U364&lt;&gt;"Closed","",(N(L364)*N(M364)+N(N364)*N(O364)+Y364*Q364)/G364)</f>
        <v/>
      </c>
      <c r="AC364" s="24" t="str">
        <f aca="false">IF(U364&lt;&gt;"Closed","",IF($B364="Short",-1,1)*((N(M364)-H364)*N(L364)+(N(O364)-H364)*N(N364)+(Q364-H364)*Y364)-N(R364))</f>
        <v/>
      </c>
      <c r="AD364" s="25" t="str">
        <f aca="false">IF(OR(AC364="",N(Z364)=0),"",AC364/Z364)</f>
        <v/>
      </c>
      <c r="AE364" s="25" t="str">
        <f aca="false">IF(OR(S364="",N(Z364)=0),"",IF($B364="Short",-1,1)*(S364-H364)*G364/Z364)</f>
        <v/>
      </c>
      <c r="AF364" s="25" t="str">
        <f aca="false">IF(OR(T364="",N(Z364)=0),"",IF($B364="Short",-1,1)*(T364-H364)*G364/Z364)</f>
        <v/>
      </c>
      <c r="AG364" s="21" t="str">
        <f aca="false">IF(U364&lt;&gt;"Open","",Y364*MAX(0,IF($B364="Short",-1,1)*(H364-IF(K364="",I364,K364))))</f>
        <v/>
      </c>
      <c r="AH364" s="26" t="str">
        <f aca="false">IF(U364&lt;&gt;"Closed","",DATE(YEAR(P364),MONTH(P364),1))</f>
        <v/>
      </c>
      <c r="AI364" s="19" t="str">
        <f aca="false">IF(U364&lt;&gt;"Closed","",COUNTIFS($U$7:$U$506,"Closed",$P$7:$P$506,"&lt;"&amp;P364)+COUNTIFS($U$7:U364,"Closed",$P$7:P364,P364))</f>
        <v/>
      </c>
    </row>
    <row r="365" customFormat="false" ht="15" hidden="false" customHeight="false" outlineLevel="0" collapsed="false">
      <c r="A365" s="13"/>
      <c r="B365" s="48"/>
      <c r="C365" s="48"/>
      <c r="D365" s="48"/>
      <c r="E365" s="15"/>
      <c r="F365" s="15"/>
      <c r="G365" s="16"/>
      <c r="H365" s="17"/>
      <c r="I365" s="17"/>
      <c r="J365" s="17"/>
      <c r="K365" s="17"/>
      <c r="L365" s="16"/>
      <c r="M365" s="17"/>
      <c r="N365" s="16"/>
      <c r="O365" s="17"/>
      <c r="P365" s="15"/>
      <c r="Q365" s="17"/>
      <c r="R365" s="17"/>
      <c r="S365" s="17"/>
      <c r="T365" s="17"/>
      <c r="U365" s="18" t="str">
        <f aca="false">IF(A365="","",IF(N(G365)-N(L365)-N(N365)&lt;0,"Check shares",IF(AND(P365&lt;&gt;"",Q365&lt;&gt;""),"Closed","Open")))</f>
        <v/>
      </c>
      <c r="V365" s="19" t="str">
        <f aca="false">IF(OR(F365="",P365=""),"",NETWORKDAYS(F365,P365,Lists!$F$5:$F$40)-1)</f>
        <v/>
      </c>
      <c r="W365" s="18" t="str">
        <f aca="false">IF(V365="","",IF(V365=0,"Same day","Overnight"))</f>
        <v/>
      </c>
      <c r="X365" s="18" t="str">
        <f aca="false">IF(OR(E365="",F365=""),"",IF(AND(E365&gt;=F365,OR(P365="",E365&lt;=P365)),"Yes","No"))</f>
        <v/>
      </c>
      <c r="Y365" s="20" t="str">
        <f aca="false">IF(A365="","",N(G365)-N(L365)-N(N365))</f>
        <v/>
      </c>
      <c r="Z365" s="21" t="str">
        <f aca="false">IF(OR(G365="",H365="",I365=""),"",ABS(H365-I365)*G365)</f>
        <v/>
      </c>
      <c r="AA365" s="22" t="str">
        <f aca="false">IF(OR(J365="",N(Z365)=0),"",ABS(J365-H365)/ABS(H365-I365))</f>
        <v/>
      </c>
      <c r="AB365" s="23" t="str">
        <f aca="false">IF(U365&lt;&gt;"Closed","",(N(L365)*N(M365)+N(N365)*N(O365)+Y365*Q365)/G365)</f>
        <v/>
      </c>
      <c r="AC365" s="24" t="str">
        <f aca="false">IF(U365&lt;&gt;"Closed","",IF($B365="Short",-1,1)*((N(M365)-H365)*N(L365)+(N(O365)-H365)*N(N365)+(Q365-H365)*Y365)-N(R365))</f>
        <v/>
      </c>
      <c r="AD365" s="25" t="str">
        <f aca="false">IF(OR(AC365="",N(Z365)=0),"",AC365/Z365)</f>
        <v/>
      </c>
      <c r="AE365" s="25" t="str">
        <f aca="false">IF(OR(S365="",N(Z365)=0),"",IF($B365="Short",-1,1)*(S365-H365)*G365/Z365)</f>
        <v/>
      </c>
      <c r="AF365" s="25" t="str">
        <f aca="false">IF(OR(T365="",N(Z365)=0),"",IF($B365="Short",-1,1)*(T365-H365)*G365/Z365)</f>
        <v/>
      </c>
      <c r="AG365" s="21" t="str">
        <f aca="false">IF(U365&lt;&gt;"Open","",Y365*MAX(0,IF($B365="Short",-1,1)*(H365-IF(K365="",I365,K365))))</f>
        <v/>
      </c>
      <c r="AH365" s="26" t="str">
        <f aca="false">IF(U365&lt;&gt;"Closed","",DATE(YEAR(P365),MONTH(P365),1))</f>
        <v/>
      </c>
      <c r="AI365" s="19" t="str">
        <f aca="false">IF(U365&lt;&gt;"Closed","",COUNTIFS($U$7:$U$506,"Closed",$P$7:$P$506,"&lt;"&amp;P365)+COUNTIFS($U$7:U365,"Closed",$P$7:P365,P365))</f>
        <v/>
      </c>
    </row>
    <row r="366" customFormat="false" ht="15" hidden="false" customHeight="false" outlineLevel="0" collapsed="false">
      <c r="A366" s="13"/>
      <c r="B366" s="48"/>
      <c r="C366" s="48"/>
      <c r="D366" s="48"/>
      <c r="E366" s="15"/>
      <c r="F366" s="15"/>
      <c r="G366" s="16"/>
      <c r="H366" s="17"/>
      <c r="I366" s="17"/>
      <c r="J366" s="17"/>
      <c r="K366" s="17"/>
      <c r="L366" s="16"/>
      <c r="M366" s="17"/>
      <c r="N366" s="16"/>
      <c r="O366" s="17"/>
      <c r="P366" s="15"/>
      <c r="Q366" s="17"/>
      <c r="R366" s="17"/>
      <c r="S366" s="17"/>
      <c r="T366" s="17"/>
      <c r="U366" s="18" t="str">
        <f aca="false">IF(A366="","",IF(N(G366)-N(L366)-N(N366)&lt;0,"Check shares",IF(AND(P366&lt;&gt;"",Q366&lt;&gt;""),"Closed","Open")))</f>
        <v/>
      </c>
      <c r="V366" s="19" t="str">
        <f aca="false">IF(OR(F366="",P366=""),"",NETWORKDAYS(F366,P366,Lists!$F$5:$F$40)-1)</f>
        <v/>
      </c>
      <c r="W366" s="18" t="str">
        <f aca="false">IF(V366="","",IF(V366=0,"Same day","Overnight"))</f>
        <v/>
      </c>
      <c r="X366" s="18" t="str">
        <f aca="false">IF(OR(E366="",F366=""),"",IF(AND(E366&gt;=F366,OR(P366="",E366&lt;=P366)),"Yes","No"))</f>
        <v/>
      </c>
      <c r="Y366" s="20" t="str">
        <f aca="false">IF(A366="","",N(G366)-N(L366)-N(N366))</f>
        <v/>
      </c>
      <c r="Z366" s="21" t="str">
        <f aca="false">IF(OR(G366="",H366="",I366=""),"",ABS(H366-I366)*G366)</f>
        <v/>
      </c>
      <c r="AA366" s="22" t="str">
        <f aca="false">IF(OR(J366="",N(Z366)=0),"",ABS(J366-H366)/ABS(H366-I366))</f>
        <v/>
      </c>
      <c r="AB366" s="23" t="str">
        <f aca="false">IF(U366&lt;&gt;"Closed","",(N(L366)*N(M366)+N(N366)*N(O366)+Y366*Q366)/G366)</f>
        <v/>
      </c>
      <c r="AC366" s="24" t="str">
        <f aca="false">IF(U366&lt;&gt;"Closed","",IF($B366="Short",-1,1)*((N(M366)-H366)*N(L366)+(N(O366)-H366)*N(N366)+(Q366-H366)*Y366)-N(R366))</f>
        <v/>
      </c>
      <c r="AD366" s="25" t="str">
        <f aca="false">IF(OR(AC366="",N(Z366)=0),"",AC366/Z366)</f>
        <v/>
      </c>
      <c r="AE366" s="25" t="str">
        <f aca="false">IF(OR(S366="",N(Z366)=0),"",IF($B366="Short",-1,1)*(S366-H366)*G366/Z366)</f>
        <v/>
      </c>
      <c r="AF366" s="25" t="str">
        <f aca="false">IF(OR(T366="",N(Z366)=0),"",IF($B366="Short",-1,1)*(T366-H366)*G366/Z366)</f>
        <v/>
      </c>
      <c r="AG366" s="21" t="str">
        <f aca="false">IF(U366&lt;&gt;"Open","",Y366*MAX(0,IF($B366="Short",-1,1)*(H366-IF(K366="",I366,K366))))</f>
        <v/>
      </c>
      <c r="AH366" s="26" t="str">
        <f aca="false">IF(U366&lt;&gt;"Closed","",DATE(YEAR(P366),MONTH(P366),1))</f>
        <v/>
      </c>
      <c r="AI366" s="19" t="str">
        <f aca="false">IF(U366&lt;&gt;"Closed","",COUNTIFS($U$7:$U$506,"Closed",$P$7:$P$506,"&lt;"&amp;P366)+COUNTIFS($U$7:U366,"Closed",$P$7:P366,P366))</f>
        <v/>
      </c>
    </row>
    <row r="367" customFormat="false" ht="15" hidden="false" customHeight="false" outlineLevel="0" collapsed="false">
      <c r="A367" s="13"/>
      <c r="B367" s="48"/>
      <c r="C367" s="48"/>
      <c r="D367" s="48"/>
      <c r="E367" s="15"/>
      <c r="F367" s="15"/>
      <c r="G367" s="16"/>
      <c r="H367" s="17"/>
      <c r="I367" s="17"/>
      <c r="J367" s="17"/>
      <c r="K367" s="17"/>
      <c r="L367" s="16"/>
      <c r="M367" s="17"/>
      <c r="N367" s="16"/>
      <c r="O367" s="17"/>
      <c r="P367" s="15"/>
      <c r="Q367" s="17"/>
      <c r="R367" s="17"/>
      <c r="S367" s="17"/>
      <c r="T367" s="17"/>
      <c r="U367" s="18" t="str">
        <f aca="false">IF(A367="","",IF(N(G367)-N(L367)-N(N367)&lt;0,"Check shares",IF(AND(P367&lt;&gt;"",Q367&lt;&gt;""),"Closed","Open")))</f>
        <v/>
      </c>
      <c r="V367" s="19" t="str">
        <f aca="false">IF(OR(F367="",P367=""),"",NETWORKDAYS(F367,P367,Lists!$F$5:$F$40)-1)</f>
        <v/>
      </c>
      <c r="W367" s="18" t="str">
        <f aca="false">IF(V367="","",IF(V367=0,"Same day","Overnight"))</f>
        <v/>
      </c>
      <c r="X367" s="18" t="str">
        <f aca="false">IF(OR(E367="",F367=""),"",IF(AND(E367&gt;=F367,OR(P367="",E367&lt;=P367)),"Yes","No"))</f>
        <v/>
      </c>
      <c r="Y367" s="20" t="str">
        <f aca="false">IF(A367="","",N(G367)-N(L367)-N(N367))</f>
        <v/>
      </c>
      <c r="Z367" s="21" t="str">
        <f aca="false">IF(OR(G367="",H367="",I367=""),"",ABS(H367-I367)*G367)</f>
        <v/>
      </c>
      <c r="AA367" s="22" t="str">
        <f aca="false">IF(OR(J367="",N(Z367)=0),"",ABS(J367-H367)/ABS(H367-I367))</f>
        <v/>
      </c>
      <c r="AB367" s="23" t="str">
        <f aca="false">IF(U367&lt;&gt;"Closed","",(N(L367)*N(M367)+N(N367)*N(O367)+Y367*Q367)/G367)</f>
        <v/>
      </c>
      <c r="AC367" s="24" t="str">
        <f aca="false">IF(U367&lt;&gt;"Closed","",IF($B367="Short",-1,1)*((N(M367)-H367)*N(L367)+(N(O367)-H367)*N(N367)+(Q367-H367)*Y367)-N(R367))</f>
        <v/>
      </c>
      <c r="AD367" s="25" t="str">
        <f aca="false">IF(OR(AC367="",N(Z367)=0),"",AC367/Z367)</f>
        <v/>
      </c>
      <c r="AE367" s="25" t="str">
        <f aca="false">IF(OR(S367="",N(Z367)=0),"",IF($B367="Short",-1,1)*(S367-H367)*G367/Z367)</f>
        <v/>
      </c>
      <c r="AF367" s="25" t="str">
        <f aca="false">IF(OR(T367="",N(Z367)=0),"",IF($B367="Short",-1,1)*(T367-H367)*G367/Z367)</f>
        <v/>
      </c>
      <c r="AG367" s="21" t="str">
        <f aca="false">IF(U367&lt;&gt;"Open","",Y367*MAX(0,IF($B367="Short",-1,1)*(H367-IF(K367="",I367,K367))))</f>
        <v/>
      </c>
      <c r="AH367" s="26" t="str">
        <f aca="false">IF(U367&lt;&gt;"Closed","",DATE(YEAR(P367),MONTH(P367),1))</f>
        <v/>
      </c>
      <c r="AI367" s="19" t="str">
        <f aca="false">IF(U367&lt;&gt;"Closed","",COUNTIFS($U$7:$U$506,"Closed",$P$7:$P$506,"&lt;"&amp;P367)+COUNTIFS($U$7:U367,"Closed",$P$7:P367,P367))</f>
        <v/>
      </c>
    </row>
    <row r="368" customFormat="false" ht="15" hidden="false" customHeight="false" outlineLevel="0" collapsed="false">
      <c r="A368" s="13"/>
      <c r="B368" s="48"/>
      <c r="C368" s="48"/>
      <c r="D368" s="48"/>
      <c r="E368" s="15"/>
      <c r="F368" s="15"/>
      <c r="G368" s="16"/>
      <c r="H368" s="17"/>
      <c r="I368" s="17"/>
      <c r="J368" s="17"/>
      <c r="K368" s="17"/>
      <c r="L368" s="16"/>
      <c r="M368" s="17"/>
      <c r="N368" s="16"/>
      <c r="O368" s="17"/>
      <c r="P368" s="15"/>
      <c r="Q368" s="17"/>
      <c r="R368" s="17"/>
      <c r="S368" s="17"/>
      <c r="T368" s="17"/>
      <c r="U368" s="18" t="str">
        <f aca="false">IF(A368="","",IF(N(G368)-N(L368)-N(N368)&lt;0,"Check shares",IF(AND(P368&lt;&gt;"",Q368&lt;&gt;""),"Closed","Open")))</f>
        <v/>
      </c>
      <c r="V368" s="19" t="str">
        <f aca="false">IF(OR(F368="",P368=""),"",NETWORKDAYS(F368,P368,Lists!$F$5:$F$40)-1)</f>
        <v/>
      </c>
      <c r="W368" s="18" t="str">
        <f aca="false">IF(V368="","",IF(V368=0,"Same day","Overnight"))</f>
        <v/>
      </c>
      <c r="X368" s="18" t="str">
        <f aca="false">IF(OR(E368="",F368=""),"",IF(AND(E368&gt;=F368,OR(P368="",E368&lt;=P368)),"Yes","No"))</f>
        <v/>
      </c>
      <c r="Y368" s="20" t="str">
        <f aca="false">IF(A368="","",N(G368)-N(L368)-N(N368))</f>
        <v/>
      </c>
      <c r="Z368" s="21" t="str">
        <f aca="false">IF(OR(G368="",H368="",I368=""),"",ABS(H368-I368)*G368)</f>
        <v/>
      </c>
      <c r="AA368" s="22" t="str">
        <f aca="false">IF(OR(J368="",N(Z368)=0),"",ABS(J368-H368)/ABS(H368-I368))</f>
        <v/>
      </c>
      <c r="AB368" s="23" t="str">
        <f aca="false">IF(U368&lt;&gt;"Closed","",(N(L368)*N(M368)+N(N368)*N(O368)+Y368*Q368)/G368)</f>
        <v/>
      </c>
      <c r="AC368" s="24" t="str">
        <f aca="false">IF(U368&lt;&gt;"Closed","",IF($B368="Short",-1,1)*((N(M368)-H368)*N(L368)+(N(O368)-H368)*N(N368)+(Q368-H368)*Y368)-N(R368))</f>
        <v/>
      </c>
      <c r="AD368" s="25" t="str">
        <f aca="false">IF(OR(AC368="",N(Z368)=0),"",AC368/Z368)</f>
        <v/>
      </c>
      <c r="AE368" s="25" t="str">
        <f aca="false">IF(OR(S368="",N(Z368)=0),"",IF($B368="Short",-1,1)*(S368-H368)*G368/Z368)</f>
        <v/>
      </c>
      <c r="AF368" s="25" t="str">
        <f aca="false">IF(OR(T368="",N(Z368)=0),"",IF($B368="Short",-1,1)*(T368-H368)*G368/Z368)</f>
        <v/>
      </c>
      <c r="AG368" s="21" t="str">
        <f aca="false">IF(U368&lt;&gt;"Open","",Y368*MAX(0,IF($B368="Short",-1,1)*(H368-IF(K368="",I368,K368))))</f>
        <v/>
      </c>
      <c r="AH368" s="26" t="str">
        <f aca="false">IF(U368&lt;&gt;"Closed","",DATE(YEAR(P368),MONTH(P368),1))</f>
        <v/>
      </c>
      <c r="AI368" s="19" t="str">
        <f aca="false">IF(U368&lt;&gt;"Closed","",COUNTIFS($U$7:$U$506,"Closed",$P$7:$P$506,"&lt;"&amp;P368)+COUNTIFS($U$7:U368,"Closed",$P$7:P368,P368))</f>
        <v/>
      </c>
    </row>
    <row r="369" customFormat="false" ht="15" hidden="false" customHeight="false" outlineLevel="0" collapsed="false">
      <c r="A369" s="13"/>
      <c r="B369" s="48"/>
      <c r="C369" s="48"/>
      <c r="D369" s="48"/>
      <c r="E369" s="15"/>
      <c r="F369" s="15"/>
      <c r="G369" s="16"/>
      <c r="H369" s="17"/>
      <c r="I369" s="17"/>
      <c r="J369" s="17"/>
      <c r="K369" s="17"/>
      <c r="L369" s="16"/>
      <c r="M369" s="17"/>
      <c r="N369" s="16"/>
      <c r="O369" s="17"/>
      <c r="P369" s="15"/>
      <c r="Q369" s="17"/>
      <c r="R369" s="17"/>
      <c r="S369" s="17"/>
      <c r="T369" s="17"/>
      <c r="U369" s="18" t="str">
        <f aca="false">IF(A369="","",IF(N(G369)-N(L369)-N(N369)&lt;0,"Check shares",IF(AND(P369&lt;&gt;"",Q369&lt;&gt;""),"Closed","Open")))</f>
        <v/>
      </c>
      <c r="V369" s="19" t="str">
        <f aca="false">IF(OR(F369="",P369=""),"",NETWORKDAYS(F369,P369,Lists!$F$5:$F$40)-1)</f>
        <v/>
      </c>
      <c r="W369" s="18" t="str">
        <f aca="false">IF(V369="","",IF(V369=0,"Same day","Overnight"))</f>
        <v/>
      </c>
      <c r="X369" s="18" t="str">
        <f aca="false">IF(OR(E369="",F369=""),"",IF(AND(E369&gt;=F369,OR(P369="",E369&lt;=P369)),"Yes","No"))</f>
        <v/>
      </c>
      <c r="Y369" s="20" t="str">
        <f aca="false">IF(A369="","",N(G369)-N(L369)-N(N369))</f>
        <v/>
      </c>
      <c r="Z369" s="21" t="str">
        <f aca="false">IF(OR(G369="",H369="",I369=""),"",ABS(H369-I369)*G369)</f>
        <v/>
      </c>
      <c r="AA369" s="22" t="str">
        <f aca="false">IF(OR(J369="",N(Z369)=0),"",ABS(J369-H369)/ABS(H369-I369))</f>
        <v/>
      </c>
      <c r="AB369" s="23" t="str">
        <f aca="false">IF(U369&lt;&gt;"Closed","",(N(L369)*N(M369)+N(N369)*N(O369)+Y369*Q369)/G369)</f>
        <v/>
      </c>
      <c r="AC369" s="24" t="str">
        <f aca="false">IF(U369&lt;&gt;"Closed","",IF($B369="Short",-1,1)*((N(M369)-H369)*N(L369)+(N(O369)-H369)*N(N369)+(Q369-H369)*Y369)-N(R369))</f>
        <v/>
      </c>
      <c r="AD369" s="25" t="str">
        <f aca="false">IF(OR(AC369="",N(Z369)=0),"",AC369/Z369)</f>
        <v/>
      </c>
      <c r="AE369" s="25" t="str">
        <f aca="false">IF(OR(S369="",N(Z369)=0),"",IF($B369="Short",-1,1)*(S369-H369)*G369/Z369)</f>
        <v/>
      </c>
      <c r="AF369" s="25" t="str">
        <f aca="false">IF(OR(T369="",N(Z369)=0),"",IF($B369="Short",-1,1)*(T369-H369)*G369/Z369)</f>
        <v/>
      </c>
      <c r="AG369" s="21" t="str">
        <f aca="false">IF(U369&lt;&gt;"Open","",Y369*MAX(0,IF($B369="Short",-1,1)*(H369-IF(K369="",I369,K369))))</f>
        <v/>
      </c>
      <c r="AH369" s="26" t="str">
        <f aca="false">IF(U369&lt;&gt;"Closed","",DATE(YEAR(P369),MONTH(P369),1))</f>
        <v/>
      </c>
      <c r="AI369" s="19" t="str">
        <f aca="false">IF(U369&lt;&gt;"Closed","",COUNTIFS($U$7:$U$506,"Closed",$P$7:$P$506,"&lt;"&amp;P369)+COUNTIFS($U$7:U369,"Closed",$P$7:P369,P369))</f>
        <v/>
      </c>
    </row>
    <row r="370" customFormat="false" ht="15" hidden="false" customHeight="false" outlineLevel="0" collapsed="false">
      <c r="A370" s="13"/>
      <c r="B370" s="48"/>
      <c r="C370" s="48"/>
      <c r="D370" s="48"/>
      <c r="E370" s="15"/>
      <c r="F370" s="15"/>
      <c r="G370" s="16"/>
      <c r="H370" s="17"/>
      <c r="I370" s="17"/>
      <c r="J370" s="17"/>
      <c r="K370" s="17"/>
      <c r="L370" s="16"/>
      <c r="M370" s="17"/>
      <c r="N370" s="16"/>
      <c r="O370" s="17"/>
      <c r="P370" s="15"/>
      <c r="Q370" s="17"/>
      <c r="R370" s="17"/>
      <c r="S370" s="17"/>
      <c r="T370" s="17"/>
      <c r="U370" s="18" t="str">
        <f aca="false">IF(A370="","",IF(N(G370)-N(L370)-N(N370)&lt;0,"Check shares",IF(AND(P370&lt;&gt;"",Q370&lt;&gt;""),"Closed","Open")))</f>
        <v/>
      </c>
      <c r="V370" s="19" t="str">
        <f aca="false">IF(OR(F370="",P370=""),"",NETWORKDAYS(F370,P370,Lists!$F$5:$F$40)-1)</f>
        <v/>
      </c>
      <c r="W370" s="18" t="str">
        <f aca="false">IF(V370="","",IF(V370=0,"Same day","Overnight"))</f>
        <v/>
      </c>
      <c r="X370" s="18" t="str">
        <f aca="false">IF(OR(E370="",F370=""),"",IF(AND(E370&gt;=F370,OR(P370="",E370&lt;=P370)),"Yes","No"))</f>
        <v/>
      </c>
      <c r="Y370" s="20" t="str">
        <f aca="false">IF(A370="","",N(G370)-N(L370)-N(N370))</f>
        <v/>
      </c>
      <c r="Z370" s="21" t="str">
        <f aca="false">IF(OR(G370="",H370="",I370=""),"",ABS(H370-I370)*G370)</f>
        <v/>
      </c>
      <c r="AA370" s="22" t="str">
        <f aca="false">IF(OR(J370="",N(Z370)=0),"",ABS(J370-H370)/ABS(H370-I370))</f>
        <v/>
      </c>
      <c r="AB370" s="23" t="str">
        <f aca="false">IF(U370&lt;&gt;"Closed","",(N(L370)*N(M370)+N(N370)*N(O370)+Y370*Q370)/G370)</f>
        <v/>
      </c>
      <c r="AC370" s="24" t="str">
        <f aca="false">IF(U370&lt;&gt;"Closed","",IF($B370="Short",-1,1)*((N(M370)-H370)*N(L370)+(N(O370)-H370)*N(N370)+(Q370-H370)*Y370)-N(R370))</f>
        <v/>
      </c>
      <c r="AD370" s="25" t="str">
        <f aca="false">IF(OR(AC370="",N(Z370)=0),"",AC370/Z370)</f>
        <v/>
      </c>
      <c r="AE370" s="25" t="str">
        <f aca="false">IF(OR(S370="",N(Z370)=0),"",IF($B370="Short",-1,1)*(S370-H370)*G370/Z370)</f>
        <v/>
      </c>
      <c r="AF370" s="25" t="str">
        <f aca="false">IF(OR(T370="",N(Z370)=0),"",IF($B370="Short",-1,1)*(T370-H370)*G370/Z370)</f>
        <v/>
      </c>
      <c r="AG370" s="21" t="str">
        <f aca="false">IF(U370&lt;&gt;"Open","",Y370*MAX(0,IF($B370="Short",-1,1)*(H370-IF(K370="",I370,K370))))</f>
        <v/>
      </c>
      <c r="AH370" s="26" t="str">
        <f aca="false">IF(U370&lt;&gt;"Closed","",DATE(YEAR(P370),MONTH(P370),1))</f>
        <v/>
      </c>
      <c r="AI370" s="19" t="str">
        <f aca="false">IF(U370&lt;&gt;"Closed","",COUNTIFS($U$7:$U$506,"Closed",$P$7:$P$506,"&lt;"&amp;P370)+COUNTIFS($U$7:U370,"Closed",$P$7:P370,P370))</f>
        <v/>
      </c>
    </row>
    <row r="371" customFormat="false" ht="15" hidden="false" customHeight="false" outlineLevel="0" collapsed="false">
      <c r="A371" s="13"/>
      <c r="B371" s="48"/>
      <c r="C371" s="48"/>
      <c r="D371" s="48"/>
      <c r="E371" s="15"/>
      <c r="F371" s="15"/>
      <c r="G371" s="16"/>
      <c r="H371" s="17"/>
      <c r="I371" s="17"/>
      <c r="J371" s="17"/>
      <c r="K371" s="17"/>
      <c r="L371" s="16"/>
      <c r="M371" s="17"/>
      <c r="N371" s="16"/>
      <c r="O371" s="17"/>
      <c r="P371" s="15"/>
      <c r="Q371" s="17"/>
      <c r="R371" s="17"/>
      <c r="S371" s="17"/>
      <c r="T371" s="17"/>
      <c r="U371" s="18" t="str">
        <f aca="false">IF(A371="","",IF(N(G371)-N(L371)-N(N371)&lt;0,"Check shares",IF(AND(P371&lt;&gt;"",Q371&lt;&gt;""),"Closed","Open")))</f>
        <v/>
      </c>
      <c r="V371" s="19" t="str">
        <f aca="false">IF(OR(F371="",P371=""),"",NETWORKDAYS(F371,P371,Lists!$F$5:$F$40)-1)</f>
        <v/>
      </c>
      <c r="W371" s="18" t="str">
        <f aca="false">IF(V371="","",IF(V371=0,"Same day","Overnight"))</f>
        <v/>
      </c>
      <c r="X371" s="18" t="str">
        <f aca="false">IF(OR(E371="",F371=""),"",IF(AND(E371&gt;=F371,OR(P371="",E371&lt;=P371)),"Yes","No"))</f>
        <v/>
      </c>
      <c r="Y371" s="20" t="str">
        <f aca="false">IF(A371="","",N(G371)-N(L371)-N(N371))</f>
        <v/>
      </c>
      <c r="Z371" s="21" t="str">
        <f aca="false">IF(OR(G371="",H371="",I371=""),"",ABS(H371-I371)*G371)</f>
        <v/>
      </c>
      <c r="AA371" s="22" t="str">
        <f aca="false">IF(OR(J371="",N(Z371)=0),"",ABS(J371-H371)/ABS(H371-I371))</f>
        <v/>
      </c>
      <c r="AB371" s="23" t="str">
        <f aca="false">IF(U371&lt;&gt;"Closed","",(N(L371)*N(M371)+N(N371)*N(O371)+Y371*Q371)/G371)</f>
        <v/>
      </c>
      <c r="AC371" s="24" t="str">
        <f aca="false">IF(U371&lt;&gt;"Closed","",IF($B371="Short",-1,1)*((N(M371)-H371)*N(L371)+(N(O371)-H371)*N(N371)+(Q371-H371)*Y371)-N(R371))</f>
        <v/>
      </c>
      <c r="AD371" s="25" t="str">
        <f aca="false">IF(OR(AC371="",N(Z371)=0),"",AC371/Z371)</f>
        <v/>
      </c>
      <c r="AE371" s="25" t="str">
        <f aca="false">IF(OR(S371="",N(Z371)=0),"",IF($B371="Short",-1,1)*(S371-H371)*G371/Z371)</f>
        <v/>
      </c>
      <c r="AF371" s="25" t="str">
        <f aca="false">IF(OR(T371="",N(Z371)=0),"",IF($B371="Short",-1,1)*(T371-H371)*G371/Z371)</f>
        <v/>
      </c>
      <c r="AG371" s="21" t="str">
        <f aca="false">IF(U371&lt;&gt;"Open","",Y371*MAX(0,IF($B371="Short",-1,1)*(H371-IF(K371="",I371,K371))))</f>
        <v/>
      </c>
      <c r="AH371" s="26" t="str">
        <f aca="false">IF(U371&lt;&gt;"Closed","",DATE(YEAR(P371),MONTH(P371),1))</f>
        <v/>
      </c>
      <c r="AI371" s="19" t="str">
        <f aca="false">IF(U371&lt;&gt;"Closed","",COUNTIFS($U$7:$U$506,"Closed",$P$7:$P$506,"&lt;"&amp;P371)+COUNTIFS($U$7:U371,"Closed",$P$7:P371,P371))</f>
        <v/>
      </c>
    </row>
    <row r="372" customFormat="false" ht="15" hidden="false" customHeight="false" outlineLevel="0" collapsed="false">
      <c r="A372" s="13"/>
      <c r="B372" s="48"/>
      <c r="C372" s="48"/>
      <c r="D372" s="48"/>
      <c r="E372" s="15"/>
      <c r="F372" s="15"/>
      <c r="G372" s="16"/>
      <c r="H372" s="17"/>
      <c r="I372" s="17"/>
      <c r="J372" s="17"/>
      <c r="K372" s="17"/>
      <c r="L372" s="16"/>
      <c r="M372" s="17"/>
      <c r="N372" s="16"/>
      <c r="O372" s="17"/>
      <c r="P372" s="15"/>
      <c r="Q372" s="17"/>
      <c r="R372" s="17"/>
      <c r="S372" s="17"/>
      <c r="T372" s="17"/>
      <c r="U372" s="18" t="str">
        <f aca="false">IF(A372="","",IF(N(G372)-N(L372)-N(N372)&lt;0,"Check shares",IF(AND(P372&lt;&gt;"",Q372&lt;&gt;""),"Closed","Open")))</f>
        <v/>
      </c>
      <c r="V372" s="19" t="str">
        <f aca="false">IF(OR(F372="",P372=""),"",NETWORKDAYS(F372,P372,Lists!$F$5:$F$40)-1)</f>
        <v/>
      </c>
      <c r="W372" s="18" t="str">
        <f aca="false">IF(V372="","",IF(V372=0,"Same day","Overnight"))</f>
        <v/>
      </c>
      <c r="X372" s="18" t="str">
        <f aca="false">IF(OR(E372="",F372=""),"",IF(AND(E372&gt;=F372,OR(P372="",E372&lt;=P372)),"Yes","No"))</f>
        <v/>
      </c>
      <c r="Y372" s="20" t="str">
        <f aca="false">IF(A372="","",N(G372)-N(L372)-N(N372))</f>
        <v/>
      </c>
      <c r="Z372" s="21" t="str">
        <f aca="false">IF(OR(G372="",H372="",I372=""),"",ABS(H372-I372)*G372)</f>
        <v/>
      </c>
      <c r="AA372" s="22" t="str">
        <f aca="false">IF(OR(J372="",N(Z372)=0),"",ABS(J372-H372)/ABS(H372-I372))</f>
        <v/>
      </c>
      <c r="AB372" s="23" t="str">
        <f aca="false">IF(U372&lt;&gt;"Closed","",(N(L372)*N(M372)+N(N372)*N(O372)+Y372*Q372)/G372)</f>
        <v/>
      </c>
      <c r="AC372" s="24" t="str">
        <f aca="false">IF(U372&lt;&gt;"Closed","",IF($B372="Short",-1,1)*((N(M372)-H372)*N(L372)+(N(O372)-H372)*N(N372)+(Q372-H372)*Y372)-N(R372))</f>
        <v/>
      </c>
      <c r="AD372" s="25" t="str">
        <f aca="false">IF(OR(AC372="",N(Z372)=0),"",AC372/Z372)</f>
        <v/>
      </c>
      <c r="AE372" s="25" t="str">
        <f aca="false">IF(OR(S372="",N(Z372)=0),"",IF($B372="Short",-1,1)*(S372-H372)*G372/Z372)</f>
        <v/>
      </c>
      <c r="AF372" s="25" t="str">
        <f aca="false">IF(OR(T372="",N(Z372)=0),"",IF($B372="Short",-1,1)*(T372-H372)*G372/Z372)</f>
        <v/>
      </c>
      <c r="AG372" s="21" t="str">
        <f aca="false">IF(U372&lt;&gt;"Open","",Y372*MAX(0,IF($B372="Short",-1,1)*(H372-IF(K372="",I372,K372))))</f>
        <v/>
      </c>
      <c r="AH372" s="26" t="str">
        <f aca="false">IF(U372&lt;&gt;"Closed","",DATE(YEAR(P372),MONTH(P372),1))</f>
        <v/>
      </c>
      <c r="AI372" s="19" t="str">
        <f aca="false">IF(U372&lt;&gt;"Closed","",COUNTIFS($U$7:$U$506,"Closed",$P$7:$P$506,"&lt;"&amp;P372)+COUNTIFS($U$7:U372,"Closed",$P$7:P372,P372))</f>
        <v/>
      </c>
    </row>
    <row r="373" customFormat="false" ht="15" hidden="false" customHeight="false" outlineLevel="0" collapsed="false">
      <c r="A373" s="13"/>
      <c r="B373" s="48"/>
      <c r="C373" s="48"/>
      <c r="D373" s="48"/>
      <c r="E373" s="15"/>
      <c r="F373" s="15"/>
      <c r="G373" s="16"/>
      <c r="H373" s="17"/>
      <c r="I373" s="17"/>
      <c r="J373" s="17"/>
      <c r="K373" s="17"/>
      <c r="L373" s="16"/>
      <c r="M373" s="17"/>
      <c r="N373" s="16"/>
      <c r="O373" s="17"/>
      <c r="P373" s="15"/>
      <c r="Q373" s="17"/>
      <c r="R373" s="17"/>
      <c r="S373" s="17"/>
      <c r="T373" s="17"/>
      <c r="U373" s="18" t="str">
        <f aca="false">IF(A373="","",IF(N(G373)-N(L373)-N(N373)&lt;0,"Check shares",IF(AND(P373&lt;&gt;"",Q373&lt;&gt;""),"Closed","Open")))</f>
        <v/>
      </c>
      <c r="V373" s="19" t="str">
        <f aca="false">IF(OR(F373="",P373=""),"",NETWORKDAYS(F373,P373,Lists!$F$5:$F$40)-1)</f>
        <v/>
      </c>
      <c r="W373" s="18" t="str">
        <f aca="false">IF(V373="","",IF(V373=0,"Same day","Overnight"))</f>
        <v/>
      </c>
      <c r="X373" s="18" t="str">
        <f aca="false">IF(OR(E373="",F373=""),"",IF(AND(E373&gt;=F373,OR(P373="",E373&lt;=P373)),"Yes","No"))</f>
        <v/>
      </c>
      <c r="Y373" s="20" t="str">
        <f aca="false">IF(A373="","",N(G373)-N(L373)-N(N373))</f>
        <v/>
      </c>
      <c r="Z373" s="21" t="str">
        <f aca="false">IF(OR(G373="",H373="",I373=""),"",ABS(H373-I373)*G373)</f>
        <v/>
      </c>
      <c r="AA373" s="22" t="str">
        <f aca="false">IF(OR(J373="",N(Z373)=0),"",ABS(J373-H373)/ABS(H373-I373))</f>
        <v/>
      </c>
      <c r="AB373" s="23" t="str">
        <f aca="false">IF(U373&lt;&gt;"Closed","",(N(L373)*N(M373)+N(N373)*N(O373)+Y373*Q373)/G373)</f>
        <v/>
      </c>
      <c r="AC373" s="24" t="str">
        <f aca="false">IF(U373&lt;&gt;"Closed","",IF($B373="Short",-1,1)*((N(M373)-H373)*N(L373)+(N(O373)-H373)*N(N373)+(Q373-H373)*Y373)-N(R373))</f>
        <v/>
      </c>
      <c r="AD373" s="25" t="str">
        <f aca="false">IF(OR(AC373="",N(Z373)=0),"",AC373/Z373)</f>
        <v/>
      </c>
      <c r="AE373" s="25" t="str">
        <f aca="false">IF(OR(S373="",N(Z373)=0),"",IF($B373="Short",-1,1)*(S373-H373)*G373/Z373)</f>
        <v/>
      </c>
      <c r="AF373" s="25" t="str">
        <f aca="false">IF(OR(T373="",N(Z373)=0),"",IF($B373="Short",-1,1)*(T373-H373)*G373/Z373)</f>
        <v/>
      </c>
      <c r="AG373" s="21" t="str">
        <f aca="false">IF(U373&lt;&gt;"Open","",Y373*MAX(0,IF($B373="Short",-1,1)*(H373-IF(K373="",I373,K373))))</f>
        <v/>
      </c>
      <c r="AH373" s="26" t="str">
        <f aca="false">IF(U373&lt;&gt;"Closed","",DATE(YEAR(P373),MONTH(P373),1))</f>
        <v/>
      </c>
      <c r="AI373" s="19" t="str">
        <f aca="false">IF(U373&lt;&gt;"Closed","",COUNTIFS($U$7:$U$506,"Closed",$P$7:$P$506,"&lt;"&amp;P373)+COUNTIFS($U$7:U373,"Closed",$P$7:P373,P373))</f>
        <v/>
      </c>
    </row>
    <row r="374" customFormat="false" ht="15" hidden="false" customHeight="false" outlineLevel="0" collapsed="false">
      <c r="A374" s="13"/>
      <c r="B374" s="48"/>
      <c r="C374" s="48"/>
      <c r="D374" s="48"/>
      <c r="E374" s="15"/>
      <c r="F374" s="15"/>
      <c r="G374" s="16"/>
      <c r="H374" s="17"/>
      <c r="I374" s="17"/>
      <c r="J374" s="17"/>
      <c r="K374" s="17"/>
      <c r="L374" s="16"/>
      <c r="M374" s="17"/>
      <c r="N374" s="16"/>
      <c r="O374" s="17"/>
      <c r="P374" s="15"/>
      <c r="Q374" s="17"/>
      <c r="R374" s="17"/>
      <c r="S374" s="17"/>
      <c r="T374" s="17"/>
      <c r="U374" s="18" t="str">
        <f aca="false">IF(A374="","",IF(N(G374)-N(L374)-N(N374)&lt;0,"Check shares",IF(AND(P374&lt;&gt;"",Q374&lt;&gt;""),"Closed","Open")))</f>
        <v/>
      </c>
      <c r="V374" s="19" t="str">
        <f aca="false">IF(OR(F374="",P374=""),"",NETWORKDAYS(F374,P374,Lists!$F$5:$F$40)-1)</f>
        <v/>
      </c>
      <c r="W374" s="18" t="str">
        <f aca="false">IF(V374="","",IF(V374=0,"Same day","Overnight"))</f>
        <v/>
      </c>
      <c r="X374" s="18" t="str">
        <f aca="false">IF(OR(E374="",F374=""),"",IF(AND(E374&gt;=F374,OR(P374="",E374&lt;=P374)),"Yes","No"))</f>
        <v/>
      </c>
      <c r="Y374" s="20" t="str">
        <f aca="false">IF(A374="","",N(G374)-N(L374)-N(N374))</f>
        <v/>
      </c>
      <c r="Z374" s="21" t="str">
        <f aca="false">IF(OR(G374="",H374="",I374=""),"",ABS(H374-I374)*G374)</f>
        <v/>
      </c>
      <c r="AA374" s="22" t="str">
        <f aca="false">IF(OR(J374="",N(Z374)=0),"",ABS(J374-H374)/ABS(H374-I374))</f>
        <v/>
      </c>
      <c r="AB374" s="23" t="str">
        <f aca="false">IF(U374&lt;&gt;"Closed","",(N(L374)*N(M374)+N(N374)*N(O374)+Y374*Q374)/G374)</f>
        <v/>
      </c>
      <c r="AC374" s="24" t="str">
        <f aca="false">IF(U374&lt;&gt;"Closed","",IF($B374="Short",-1,1)*((N(M374)-H374)*N(L374)+(N(O374)-H374)*N(N374)+(Q374-H374)*Y374)-N(R374))</f>
        <v/>
      </c>
      <c r="AD374" s="25" t="str">
        <f aca="false">IF(OR(AC374="",N(Z374)=0),"",AC374/Z374)</f>
        <v/>
      </c>
      <c r="AE374" s="25" t="str">
        <f aca="false">IF(OR(S374="",N(Z374)=0),"",IF($B374="Short",-1,1)*(S374-H374)*G374/Z374)</f>
        <v/>
      </c>
      <c r="AF374" s="25" t="str">
        <f aca="false">IF(OR(T374="",N(Z374)=0),"",IF($B374="Short",-1,1)*(T374-H374)*G374/Z374)</f>
        <v/>
      </c>
      <c r="AG374" s="21" t="str">
        <f aca="false">IF(U374&lt;&gt;"Open","",Y374*MAX(0,IF($B374="Short",-1,1)*(H374-IF(K374="",I374,K374))))</f>
        <v/>
      </c>
      <c r="AH374" s="26" t="str">
        <f aca="false">IF(U374&lt;&gt;"Closed","",DATE(YEAR(P374),MONTH(P374),1))</f>
        <v/>
      </c>
      <c r="AI374" s="19" t="str">
        <f aca="false">IF(U374&lt;&gt;"Closed","",COUNTIFS($U$7:$U$506,"Closed",$P$7:$P$506,"&lt;"&amp;P374)+COUNTIFS($U$7:U374,"Closed",$P$7:P374,P374))</f>
        <v/>
      </c>
    </row>
    <row r="375" customFormat="false" ht="15" hidden="false" customHeight="false" outlineLevel="0" collapsed="false">
      <c r="A375" s="13"/>
      <c r="B375" s="48"/>
      <c r="C375" s="48"/>
      <c r="D375" s="48"/>
      <c r="E375" s="15"/>
      <c r="F375" s="15"/>
      <c r="G375" s="16"/>
      <c r="H375" s="17"/>
      <c r="I375" s="17"/>
      <c r="J375" s="17"/>
      <c r="K375" s="17"/>
      <c r="L375" s="16"/>
      <c r="M375" s="17"/>
      <c r="N375" s="16"/>
      <c r="O375" s="17"/>
      <c r="P375" s="15"/>
      <c r="Q375" s="17"/>
      <c r="R375" s="17"/>
      <c r="S375" s="17"/>
      <c r="T375" s="17"/>
      <c r="U375" s="18" t="str">
        <f aca="false">IF(A375="","",IF(N(G375)-N(L375)-N(N375)&lt;0,"Check shares",IF(AND(P375&lt;&gt;"",Q375&lt;&gt;""),"Closed","Open")))</f>
        <v/>
      </c>
      <c r="V375" s="19" t="str">
        <f aca="false">IF(OR(F375="",P375=""),"",NETWORKDAYS(F375,P375,Lists!$F$5:$F$40)-1)</f>
        <v/>
      </c>
      <c r="W375" s="18" t="str">
        <f aca="false">IF(V375="","",IF(V375=0,"Same day","Overnight"))</f>
        <v/>
      </c>
      <c r="X375" s="18" t="str">
        <f aca="false">IF(OR(E375="",F375=""),"",IF(AND(E375&gt;=F375,OR(P375="",E375&lt;=P375)),"Yes","No"))</f>
        <v/>
      </c>
      <c r="Y375" s="20" t="str">
        <f aca="false">IF(A375="","",N(G375)-N(L375)-N(N375))</f>
        <v/>
      </c>
      <c r="Z375" s="21" t="str">
        <f aca="false">IF(OR(G375="",H375="",I375=""),"",ABS(H375-I375)*G375)</f>
        <v/>
      </c>
      <c r="AA375" s="22" t="str">
        <f aca="false">IF(OR(J375="",N(Z375)=0),"",ABS(J375-H375)/ABS(H375-I375))</f>
        <v/>
      </c>
      <c r="AB375" s="23" t="str">
        <f aca="false">IF(U375&lt;&gt;"Closed","",(N(L375)*N(M375)+N(N375)*N(O375)+Y375*Q375)/G375)</f>
        <v/>
      </c>
      <c r="AC375" s="24" t="str">
        <f aca="false">IF(U375&lt;&gt;"Closed","",IF($B375="Short",-1,1)*((N(M375)-H375)*N(L375)+(N(O375)-H375)*N(N375)+(Q375-H375)*Y375)-N(R375))</f>
        <v/>
      </c>
      <c r="AD375" s="25" t="str">
        <f aca="false">IF(OR(AC375="",N(Z375)=0),"",AC375/Z375)</f>
        <v/>
      </c>
      <c r="AE375" s="25" t="str">
        <f aca="false">IF(OR(S375="",N(Z375)=0),"",IF($B375="Short",-1,1)*(S375-H375)*G375/Z375)</f>
        <v/>
      </c>
      <c r="AF375" s="25" t="str">
        <f aca="false">IF(OR(T375="",N(Z375)=0),"",IF($B375="Short",-1,1)*(T375-H375)*G375/Z375)</f>
        <v/>
      </c>
      <c r="AG375" s="21" t="str">
        <f aca="false">IF(U375&lt;&gt;"Open","",Y375*MAX(0,IF($B375="Short",-1,1)*(H375-IF(K375="",I375,K375))))</f>
        <v/>
      </c>
      <c r="AH375" s="26" t="str">
        <f aca="false">IF(U375&lt;&gt;"Closed","",DATE(YEAR(P375),MONTH(P375),1))</f>
        <v/>
      </c>
      <c r="AI375" s="19" t="str">
        <f aca="false">IF(U375&lt;&gt;"Closed","",COUNTIFS($U$7:$U$506,"Closed",$P$7:$P$506,"&lt;"&amp;P375)+COUNTIFS($U$7:U375,"Closed",$P$7:P375,P375))</f>
        <v/>
      </c>
    </row>
    <row r="376" customFormat="false" ht="15" hidden="false" customHeight="false" outlineLevel="0" collapsed="false">
      <c r="A376" s="13"/>
      <c r="B376" s="48"/>
      <c r="C376" s="48"/>
      <c r="D376" s="48"/>
      <c r="E376" s="15"/>
      <c r="F376" s="15"/>
      <c r="G376" s="16"/>
      <c r="H376" s="17"/>
      <c r="I376" s="17"/>
      <c r="J376" s="17"/>
      <c r="K376" s="17"/>
      <c r="L376" s="16"/>
      <c r="M376" s="17"/>
      <c r="N376" s="16"/>
      <c r="O376" s="17"/>
      <c r="P376" s="15"/>
      <c r="Q376" s="17"/>
      <c r="R376" s="17"/>
      <c r="S376" s="17"/>
      <c r="T376" s="17"/>
      <c r="U376" s="18" t="str">
        <f aca="false">IF(A376="","",IF(N(G376)-N(L376)-N(N376)&lt;0,"Check shares",IF(AND(P376&lt;&gt;"",Q376&lt;&gt;""),"Closed","Open")))</f>
        <v/>
      </c>
      <c r="V376" s="19" t="str">
        <f aca="false">IF(OR(F376="",P376=""),"",NETWORKDAYS(F376,P376,Lists!$F$5:$F$40)-1)</f>
        <v/>
      </c>
      <c r="W376" s="18" t="str">
        <f aca="false">IF(V376="","",IF(V376=0,"Same day","Overnight"))</f>
        <v/>
      </c>
      <c r="X376" s="18" t="str">
        <f aca="false">IF(OR(E376="",F376=""),"",IF(AND(E376&gt;=F376,OR(P376="",E376&lt;=P376)),"Yes","No"))</f>
        <v/>
      </c>
      <c r="Y376" s="20" t="str">
        <f aca="false">IF(A376="","",N(G376)-N(L376)-N(N376))</f>
        <v/>
      </c>
      <c r="Z376" s="21" t="str">
        <f aca="false">IF(OR(G376="",H376="",I376=""),"",ABS(H376-I376)*G376)</f>
        <v/>
      </c>
      <c r="AA376" s="22" t="str">
        <f aca="false">IF(OR(J376="",N(Z376)=0),"",ABS(J376-H376)/ABS(H376-I376))</f>
        <v/>
      </c>
      <c r="AB376" s="23" t="str">
        <f aca="false">IF(U376&lt;&gt;"Closed","",(N(L376)*N(M376)+N(N376)*N(O376)+Y376*Q376)/G376)</f>
        <v/>
      </c>
      <c r="AC376" s="24" t="str">
        <f aca="false">IF(U376&lt;&gt;"Closed","",IF($B376="Short",-1,1)*((N(M376)-H376)*N(L376)+(N(O376)-H376)*N(N376)+(Q376-H376)*Y376)-N(R376))</f>
        <v/>
      </c>
      <c r="AD376" s="25" t="str">
        <f aca="false">IF(OR(AC376="",N(Z376)=0),"",AC376/Z376)</f>
        <v/>
      </c>
      <c r="AE376" s="25" t="str">
        <f aca="false">IF(OR(S376="",N(Z376)=0),"",IF($B376="Short",-1,1)*(S376-H376)*G376/Z376)</f>
        <v/>
      </c>
      <c r="AF376" s="25" t="str">
        <f aca="false">IF(OR(T376="",N(Z376)=0),"",IF($B376="Short",-1,1)*(T376-H376)*G376/Z376)</f>
        <v/>
      </c>
      <c r="AG376" s="21" t="str">
        <f aca="false">IF(U376&lt;&gt;"Open","",Y376*MAX(0,IF($B376="Short",-1,1)*(H376-IF(K376="",I376,K376))))</f>
        <v/>
      </c>
      <c r="AH376" s="26" t="str">
        <f aca="false">IF(U376&lt;&gt;"Closed","",DATE(YEAR(P376),MONTH(P376),1))</f>
        <v/>
      </c>
      <c r="AI376" s="19" t="str">
        <f aca="false">IF(U376&lt;&gt;"Closed","",COUNTIFS($U$7:$U$506,"Closed",$P$7:$P$506,"&lt;"&amp;P376)+COUNTIFS($U$7:U376,"Closed",$P$7:P376,P376))</f>
        <v/>
      </c>
    </row>
    <row r="377" customFormat="false" ht="15" hidden="false" customHeight="false" outlineLevel="0" collapsed="false">
      <c r="A377" s="13"/>
      <c r="B377" s="48"/>
      <c r="C377" s="48"/>
      <c r="D377" s="48"/>
      <c r="E377" s="15"/>
      <c r="F377" s="15"/>
      <c r="G377" s="16"/>
      <c r="H377" s="17"/>
      <c r="I377" s="17"/>
      <c r="J377" s="17"/>
      <c r="K377" s="17"/>
      <c r="L377" s="16"/>
      <c r="M377" s="17"/>
      <c r="N377" s="16"/>
      <c r="O377" s="17"/>
      <c r="P377" s="15"/>
      <c r="Q377" s="17"/>
      <c r="R377" s="17"/>
      <c r="S377" s="17"/>
      <c r="T377" s="17"/>
      <c r="U377" s="18" t="str">
        <f aca="false">IF(A377="","",IF(N(G377)-N(L377)-N(N377)&lt;0,"Check shares",IF(AND(P377&lt;&gt;"",Q377&lt;&gt;""),"Closed","Open")))</f>
        <v/>
      </c>
      <c r="V377" s="19" t="str">
        <f aca="false">IF(OR(F377="",P377=""),"",NETWORKDAYS(F377,P377,Lists!$F$5:$F$40)-1)</f>
        <v/>
      </c>
      <c r="W377" s="18" t="str">
        <f aca="false">IF(V377="","",IF(V377=0,"Same day","Overnight"))</f>
        <v/>
      </c>
      <c r="X377" s="18" t="str">
        <f aca="false">IF(OR(E377="",F377=""),"",IF(AND(E377&gt;=F377,OR(P377="",E377&lt;=P377)),"Yes","No"))</f>
        <v/>
      </c>
      <c r="Y377" s="20" t="str">
        <f aca="false">IF(A377="","",N(G377)-N(L377)-N(N377))</f>
        <v/>
      </c>
      <c r="Z377" s="21" t="str">
        <f aca="false">IF(OR(G377="",H377="",I377=""),"",ABS(H377-I377)*G377)</f>
        <v/>
      </c>
      <c r="AA377" s="22" t="str">
        <f aca="false">IF(OR(J377="",N(Z377)=0),"",ABS(J377-H377)/ABS(H377-I377))</f>
        <v/>
      </c>
      <c r="AB377" s="23" t="str">
        <f aca="false">IF(U377&lt;&gt;"Closed","",(N(L377)*N(M377)+N(N377)*N(O377)+Y377*Q377)/G377)</f>
        <v/>
      </c>
      <c r="AC377" s="24" t="str">
        <f aca="false">IF(U377&lt;&gt;"Closed","",IF($B377="Short",-1,1)*((N(M377)-H377)*N(L377)+(N(O377)-H377)*N(N377)+(Q377-H377)*Y377)-N(R377))</f>
        <v/>
      </c>
      <c r="AD377" s="25" t="str">
        <f aca="false">IF(OR(AC377="",N(Z377)=0),"",AC377/Z377)</f>
        <v/>
      </c>
      <c r="AE377" s="25" t="str">
        <f aca="false">IF(OR(S377="",N(Z377)=0),"",IF($B377="Short",-1,1)*(S377-H377)*G377/Z377)</f>
        <v/>
      </c>
      <c r="AF377" s="25" t="str">
        <f aca="false">IF(OR(T377="",N(Z377)=0),"",IF($B377="Short",-1,1)*(T377-H377)*G377/Z377)</f>
        <v/>
      </c>
      <c r="AG377" s="21" t="str">
        <f aca="false">IF(U377&lt;&gt;"Open","",Y377*MAX(0,IF($B377="Short",-1,1)*(H377-IF(K377="",I377,K377))))</f>
        <v/>
      </c>
      <c r="AH377" s="26" t="str">
        <f aca="false">IF(U377&lt;&gt;"Closed","",DATE(YEAR(P377),MONTH(P377),1))</f>
        <v/>
      </c>
      <c r="AI377" s="19" t="str">
        <f aca="false">IF(U377&lt;&gt;"Closed","",COUNTIFS($U$7:$U$506,"Closed",$P$7:$P$506,"&lt;"&amp;P377)+COUNTIFS($U$7:U377,"Closed",$P$7:P377,P377))</f>
        <v/>
      </c>
    </row>
    <row r="378" customFormat="false" ht="15" hidden="false" customHeight="false" outlineLevel="0" collapsed="false">
      <c r="A378" s="13"/>
      <c r="B378" s="48"/>
      <c r="C378" s="48"/>
      <c r="D378" s="48"/>
      <c r="E378" s="15"/>
      <c r="F378" s="15"/>
      <c r="G378" s="16"/>
      <c r="H378" s="17"/>
      <c r="I378" s="17"/>
      <c r="J378" s="17"/>
      <c r="K378" s="17"/>
      <c r="L378" s="16"/>
      <c r="M378" s="17"/>
      <c r="N378" s="16"/>
      <c r="O378" s="17"/>
      <c r="P378" s="15"/>
      <c r="Q378" s="17"/>
      <c r="R378" s="17"/>
      <c r="S378" s="17"/>
      <c r="T378" s="17"/>
      <c r="U378" s="18" t="str">
        <f aca="false">IF(A378="","",IF(N(G378)-N(L378)-N(N378)&lt;0,"Check shares",IF(AND(P378&lt;&gt;"",Q378&lt;&gt;""),"Closed","Open")))</f>
        <v/>
      </c>
      <c r="V378" s="19" t="str">
        <f aca="false">IF(OR(F378="",P378=""),"",NETWORKDAYS(F378,P378,Lists!$F$5:$F$40)-1)</f>
        <v/>
      </c>
      <c r="W378" s="18" t="str">
        <f aca="false">IF(V378="","",IF(V378=0,"Same day","Overnight"))</f>
        <v/>
      </c>
      <c r="X378" s="18" t="str">
        <f aca="false">IF(OR(E378="",F378=""),"",IF(AND(E378&gt;=F378,OR(P378="",E378&lt;=P378)),"Yes","No"))</f>
        <v/>
      </c>
      <c r="Y378" s="20" t="str">
        <f aca="false">IF(A378="","",N(G378)-N(L378)-N(N378))</f>
        <v/>
      </c>
      <c r="Z378" s="21" t="str">
        <f aca="false">IF(OR(G378="",H378="",I378=""),"",ABS(H378-I378)*G378)</f>
        <v/>
      </c>
      <c r="AA378" s="22" t="str">
        <f aca="false">IF(OR(J378="",N(Z378)=0),"",ABS(J378-H378)/ABS(H378-I378))</f>
        <v/>
      </c>
      <c r="AB378" s="23" t="str">
        <f aca="false">IF(U378&lt;&gt;"Closed","",(N(L378)*N(M378)+N(N378)*N(O378)+Y378*Q378)/G378)</f>
        <v/>
      </c>
      <c r="AC378" s="24" t="str">
        <f aca="false">IF(U378&lt;&gt;"Closed","",IF($B378="Short",-1,1)*((N(M378)-H378)*N(L378)+(N(O378)-H378)*N(N378)+(Q378-H378)*Y378)-N(R378))</f>
        <v/>
      </c>
      <c r="AD378" s="25" t="str">
        <f aca="false">IF(OR(AC378="",N(Z378)=0),"",AC378/Z378)</f>
        <v/>
      </c>
      <c r="AE378" s="25" t="str">
        <f aca="false">IF(OR(S378="",N(Z378)=0),"",IF($B378="Short",-1,1)*(S378-H378)*G378/Z378)</f>
        <v/>
      </c>
      <c r="AF378" s="25" t="str">
        <f aca="false">IF(OR(T378="",N(Z378)=0),"",IF($B378="Short",-1,1)*(T378-H378)*G378/Z378)</f>
        <v/>
      </c>
      <c r="AG378" s="21" t="str">
        <f aca="false">IF(U378&lt;&gt;"Open","",Y378*MAX(0,IF($B378="Short",-1,1)*(H378-IF(K378="",I378,K378))))</f>
        <v/>
      </c>
      <c r="AH378" s="26" t="str">
        <f aca="false">IF(U378&lt;&gt;"Closed","",DATE(YEAR(P378),MONTH(P378),1))</f>
        <v/>
      </c>
      <c r="AI378" s="19" t="str">
        <f aca="false">IF(U378&lt;&gt;"Closed","",COUNTIFS($U$7:$U$506,"Closed",$P$7:$P$506,"&lt;"&amp;P378)+COUNTIFS($U$7:U378,"Closed",$P$7:P378,P378))</f>
        <v/>
      </c>
    </row>
    <row r="379" customFormat="false" ht="15" hidden="false" customHeight="false" outlineLevel="0" collapsed="false">
      <c r="A379" s="13"/>
      <c r="B379" s="48"/>
      <c r="C379" s="48"/>
      <c r="D379" s="48"/>
      <c r="E379" s="15"/>
      <c r="F379" s="15"/>
      <c r="G379" s="16"/>
      <c r="H379" s="17"/>
      <c r="I379" s="17"/>
      <c r="J379" s="17"/>
      <c r="K379" s="17"/>
      <c r="L379" s="16"/>
      <c r="M379" s="17"/>
      <c r="N379" s="16"/>
      <c r="O379" s="17"/>
      <c r="P379" s="15"/>
      <c r="Q379" s="17"/>
      <c r="R379" s="17"/>
      <c r="S379" s="17"/>
      <c r="T379" s="17"/>
      <c r="U379" s="18" t="str">
        <f aca="false">IF(A379="","",IF(N(G379)-N(L379)-N(N379)&lt;0,"Check shares",IF(AND(P379&lt;&gt;"",Q379&lt;&gt;""),"Closed","Open")))</f>
        <v/>
      </c>
      <c r="V379" s="19" t="str">
        <f aca="false">IF(OR(F379="",P379=""),"",NETWORKDAYS(F379,P379,Lists!$F$5:$F$40)-1)</f>
        <v/>
      </c>
      <c r="W379" s="18" t="str">
        <f aca="false">IF(V379="","",IF(V379=0,"Same day","Overnight"))</f>
        <v/>
      </c>
      <c r="X379" s="18" t="str">
        <f aca="false">IF(OR(E379="",F379=""),"",IF(AND(E379&gt;=F379,OR(P379="",E379&lt;=P379)),"Yes","No"))</f>
        <v/>
      </c>
      <c r="Y379" s="20" t="str">
        <f aca="false">IF(A379="","",N(G379)-N(L379)-N(N379))</f>
        <v/>
      </c>
      <c r="Z379" s="21" t="str">
        <f aca="false">IF(OR(G379="",H379="",I379=""),"",ABS(H379-I379)*G379)</f>
        <v/>
      </c>
      <c r="AA379" s="22" t="str">
        <f aca="false">IF(OR(J379="",N(Z379)=0),"",ABS(J379-H379)/ABS(H379-I379))</f>
        <v/>
      </c>
      <c r="AB379" s="23" t="str">
        <f aca="false">IF(U379&lt;&gt;"Closed","",(N(L379)*N(M379)+N(N379)*N(O379)+Y379*Q379)/G379)</f>
        <v/>
      </c>
      <c r="AC379" s="24" t="str">
        <f aca="false">IF(U379&lt;&gt;"Closed","",IF($B379="Short",-1,1)*((N(M379)-H379)*N(L379)+(N(O379)-H379)*N(N379)+(Q379-H379)*Y379)-N(R379))</f>
        <v/>
      </c>
      <c r="AD379" s="25" t="str">
        <f aca="false">IF(OR(AC379="",N(Z379)=0),"",AC379/Z379)</f>
        <v/>
      </c>
      <c r="AE379" s="25" t="str">
        <f aca="false">IF(OR(S379="",N(Z379)=0),"",IF($B379="Short",-1,1)*(S379-H379)*G379/Z379)</f>
        <v/>
      </c>
      <c r="AF379" s="25" t="str">
        <f aca="false">IF(OR(T379="",N(Z379)=0),"",IF($B379="Short",-1,1)*(T379-H379)*G379/Z379)</f>
        <v/>
      </c>
      <c r="AG379" s="21" t="str">
        <f aca="false">IF(U379&lt;&gt;"Open","",Y379*MAX(0,IF($B379="Short",-1,1)*(H379-IF(K379="",I379,K379))))</f>
        <v/>
      </c>
      <c r="AH379" s="26" t="str">
        <f aca="false">IF(U379&lt;&gt;"Closed","",DATE(YEAR(P379),MONTH(P379),1))</f>
        <v/>
      </c>
      <c r="AI379" s="19" t="str">
        <f aca="false">IF(U379&lt;&gt;"Closed","",COUNTIFS($U$7:$U$506,"Closed",$P$7:$P$506,"&lt;"&amp;P379)+COUNTIFS($U$7:U379,"Closed",$P$7:P379,P379))</f>
        <v/>
      </c>
    </row>
    <row r="380" customFormat="false" ht="15" hidden="false" customHeight="false" outlineLevel="0" collapsed="false">
      <c r="A380" s="13"/>
      <c r="B380" s="48"/>
      <c r="C380" s="48"/>
      <c r="D380" s="48"/>
      <c r="E380" s="15"/>
      <c r="F380" s="15"/>
      <c r="G380" s="16"/>
      <c r="H380" s="17"/>
      <c r="I380" s="17"/>
      <c r="J380" s="17"/>
      <c r="K380" s="17"/>
      <c r="L380" s="16"/>
      <c r="M380" s="17"/>
      <c r="N380" s="16"/>
      <c r="O380" s="17"/>
      <c r="P380" s="15"/>
      <c r="Q380" s="17"/>
      <c r="R380" s="17"/>
      <c r="S380" s="17"/>
      <c r="T380" s="17"/>
      <c r="U380" s="18" t="str">
        <f aca="false">IF(A380="","",IF(N(G380)-N(L380)-N(N380)&lt;0,"Check shares",IF(AND(P380&lt;&gt;"",Q380&lt;&gt;""),"Closed","Open")))</f>
        <v/>
      </c>
      <c r="V380" s="19" t="str">
        <f aca="false">IF(OR(F380="",P380=""),"",NETWORKDAYS(F380,P380,Lists!$F$5:$F$40)-1)</f>
        <v/>
      </c>
      <c r="W380" s="18" t="str">
        <f aca="false">IF(V380="","",IF(V380=0,"Same day","Overnight"))</f>
        <v/>
      </c>
      <c r="X380" s="18" t="str">
        <f aca="false">IF(OR(E380="",F380=""),"",IF(AND(E380&gt;=F380,OR(P380="",E380&lt;=P380)),"Yes","No"))</f>
        <v/>
      </c>
      <c r="Y380" s="20" t="str">
        <f aca="false">IF(A380="","",N(G380)-N(L380)-N(N380))</f>
        <v/>
      </c>
      <c r="Z380" s="21" t="str">
        <f aca="false">IF(OR(G380="",H380="",I380=""),"",ABS(H380-I380)*G380)</f>
        <v/>
      </c>
      <c r="AA380" s="22" t="str">
        <f aca="false">IF(OR(J380="",N(Z380)=0),"",ABS(J380-H380)/ABS(H380-I380))</f>
        <v/>
      </c>
      <c r="AB380" s="23" t="str">
        <f aca="false">IF(U380&lt;&gt;"Closed","",(N(L380)*N(M380)+N(N380)*N(O380)+Y380*Q380)/G380)</f>
        <v/>
      </c>
      <c r="AC380" s="24" t="str">
        <f aca="false">IF(U380&lt;&gt;"Closed","",IF($B380="Short",-1,1)*((N(M380)-H380)*N(L380)+(N(O380)-H380)*N(N380)+(Q380-H380)*Y380)-N(R380))</f>
        <v/>
      </c>
      <c r="AD380" s="25" t="str">
        <f aca="false">IF(OR(AC380="",N(Z380)=0),"",AC380/Z380)</f>
        <v/>
      </c>
      <c r="AE380" s="25" t="str">
        <f aca="false">IF(OR(S380="",N(Z380)=0),"",IF($B380="Short",-1,1)*(S380-H380)*G380/Z380)</f>
        <v/>
      </c>
      <c r="AF380" s="25" t="str">
        <f aca="false">IF(OR(T380="",N(Z380)=0),"",IF($B380="Short",-1,1)*(T380-H380)*G380/Z380)</f>
        <v/>
      </c>
      <c r="AG380" s="21" t="str">
        <f aca="false">IF(U380&lt;&gt;"Open","",Y380*MAX(0,IF($B380="Short",-1,1)*(H380-IF(K380="",I380,K380))))</f>
        <v/>
      </c>
      <c r="AH380" s="26" t="str">
        <f aca="false">IF(U380&lt;&gt;"Closed","",DATE(YEAR(P380),MONTH(P380),1))</f>
        <v/>
      </c>
      <c r="AI380" s="19" t="str">
        <f aca="false">IF(U380&lt;&gt;"Closed","",COUNTIFS($U$7:$U$506,"Closed",$P$7:$P$506,"&lt;"&amp;P380)+COUNTIFS($U$7:U380,"Closed",$P$7:P380,P380))</f>
        <v/>
      </c>
    </row>
    <row r="381" customFormat="false" ht="15" hidden="false" customHeight="false" outlineLevel="0" collapsed="false">
      <c r="A381" s="13"/>
      <c r="B381" s="48"/>
      <c r="C381" s="48"/>
      <c r="D381" s="48"/>
      <c r="E381" s="15"/>
      <c r="F381" s="15"/>
      <c r="G381" s="16"/>
      <c r="H381" s="17"/>
      <c r="I381" s="17"/>
      <c r="J381" s="17"/>
      <c r="K381" s="17"/>
      <c r="L381" s="16"/>
      <c r="M381" s="17"/>
      <c r="N381" s="16"/>
      <c r="O381" s="17"/>
      <c r="P381" s="15"/>
      <c r="Q381" s="17"/>
      <c r="R381" s="17"/>
      <c r="S381" s="17"/>
      <c r="T381" s="17"/>
      <c r="U381" s="18" t="str">
        <f aca="false">IF(A381="","",IF(N(G381)-N(L381)-N(N381)&lt;0,"Check shares",IF(AND(P381&lt;&gt;"",Q381&lt;&gt;""),"Closed","Open")))</f>
        <v/>
      </c>
      <c r="V381" s="19" t="str">
        <f aca="false">IF(OR(F381="",P381=""),"",NETWORKDAYS(F381,P381,Lists!$F$5:$F$40)-1)</f>
        <v/>
      </c>
      <c r="W381" s="18" t="str">
        <f aca="false">IF(V381="","",IF(V381=0,"Same day","Overnight"))</f>
        <v/>
      </c>
      <c r="X381" s="18" t="str">
        <f aca="false">IF(OR(E381="",F381=""),"",IF(AND(E381&gt;=F381,OR(P381="",E381&lt;=P381)),"Yes","No"))</f>
        <v/>
      </c>
      <c r="Y381" s="20" t="str">
        <f aca="false">IF(A381="","",N(G381)-N(L381)-N(N381))</f>
        <v/>
      </c>
      <c r="Z381" s="21" t="str">
        <f aca="false">IF(OR(G381="",H381="",I381=""),"",ABS(H381-I381)*G381)</f>
        <v/>
      </c>
      <c r="AA381" s="22" t="str">
        <f aca="false">IF(OR(J381="",N(Z381)=0),"",ABS(J381-H381)/ABS(H381-I381))</f>
        <v/>
      </c>
      <c r="AB381" s="23" t="str">
        <f aca="false">IF(U381&lt;&gt;"Closed","",(N(L381)*N(M381)+N(N381)*N(O381)+Y381*Q381)/G381)</f>
        <v/>
      </c>
      <c r="AC381" s="24" t="str">
        <f aca="false">IF(U381&lt;&gt;"Closed","",IF($B381="Short",-1,1)*((N(M381)-H381)*N(L381)+(N(O381)-H381)*N(N381)+(Q381-H381)*Y381)-N(R381))</f>
        <v/>
      </c>
      <c r="AD381" s="25" t="str">
        <f aca="false">IF(OR(AC381="",N(Z381)=0),"",AC381/Z381)</f>
        <v/>
      </c>
      <c r="AE381" s="25" t="str">
        <f aca="false">IF(OR(S381="",N(Z381)=0),"",IF($B381="Short",-1,1)*(S381-H381)*G381/Z381)</f>
        <v/>
      </c>
      <c r="AF381" s="25" t="str">
        <f aca="false">IF(OR(T381="",N(Z381)=0),"",IF($B381="Short",-1,1)*(T381-H381)*G381/Z381)</f>
        <v/>
      </c>
      <c r="AG381" s="21" t="str">
        <f aca="false">IF(U381&lt;&gt;"Open","",Y381*MAX(0,IF($B381="Short",-1,1)*(H381-IF(K381="",I381,K381))))</f>
        <v/>
      </c>
      <c r="AH381" s="26" t="str">
        <f aca="false">IF(U381&lt;&gt;"Closed","",DATE(YEAR(P381),MONTH(P381),1))</f>
        <v/>
      </c>
      <c r="AI381" s="19" t="str">
        <f aca="false">IF(U381&lt;&gt;"Closed","",COUNTIFS($U$7:$U$506,"Closed",$P$7:$P$506,"&lt;"&amp;P381)+COUNTIFS($U$7:U381,"Closed",$P$7:P381,P381))</f>
        <v/>
      </c>
    </row>
    <row r="382" customFormat="false" ht="15" hidden="false" customHeight="false" outlineLevel="0" collapsed="false">
      <c r="A382" s="13"/>
      <c r="B382" s="48"/>
      <c r="C382" s="48"/>
      <c r="D382" s="48"/>
      <c r="E382" s="15"/>
      <c r="F382" s="15"/>
      <c r="G382" s="16"/>
      <c r="H382" s="17"/>
      <c r="I382" s="17"/>
      <c r="J382" s="17"/>
      <c r="K382" s="17"/>
      <c r="L382" s="16"/>
      <c r="M382" s="17"/>
      <c r="N382" s="16"/>
      <c r="O382" s="17"/>
      <c r="P382" s="15"/>
      <c r="Q382" s="17"/>
      <c r="R382" s="17"/>
      <c r="S382" s="17"/>
      <c r="T382" s="17"/>
      <c r="U382" s="18" t="str">
        <f aca="false">IF(A382="","",IF(N(G382)-N(L382)-N(N382)&lt;0,"Check shares",IF(AND(P382&lt;&gt;"",Q382&lt;&gt;""),"Closed","Open")))</f>
        <v/>
      </c>
      <c r="V382" s="19" t="str">
        <f aca="false">IF(OR(F382="",P382=""),"",NETWORKDAYS(F382,P382,Lists!$F$5:$F$40)-1)</f>
        <v/>
      </c>
      <c r="W382" s="18" t="str">
        <f aca="false">IF(V382="","",IF(V382=0,"Same day","Overnight"))</f>
        <v/>
      </c>
      <c r="X382" s="18" t="str">
        <f aca="false">IF(OR(E382="",F382=""),"",IF(AND(E382&gt;=F382,OR(P382="",E382&lt;=P382)),"Yes","No"))</f>
        <v/>
      </c>
      <c r="Y382" s="20" t="str">
        <f aca="false">IF(A382="","",N(G382)-N(L382)-N(N382))</f>
        <v/>
      </c>
      <c r="Z382" s="21" t="str">
        <f aca="false">IF(OR(G382="",H382="",I382=""),"",ABS(H382-I382)*G382)</f>
        <v/>
      </c>
      <c r="AA382" s="22" t="str">
        <f aca="false">IF(OR(J382="",N(Z382)=0),"",ABS(J382-H382)/ABS(H382-I382))</f>
        <v/>
      </c>
      <c r="AB382" s="23" t="str">
        <f aca="false">IF(U382&lt;&gt;"Closed","",(N(L382)*N(M382)+N(N382)*N(O382)+Y382*Q382)/G382)</f>
        <v/>
      </c>
      <c r="AC382" s="24" t="str">
        <f aca="false">IF(U382&lt;&gt;"Closed","",IF($B382="Short",-1,1)*((N(M382)-H382)*N(L382)+(N(O382)-H382)*N(N382)+(Q382-H382)*Y382)-N(R382))</f>
        <v/>
      </c>
      <c r="AD382" s="25" t="str">
        <f aca="false">IF(OR(AC382="",N(Z382)=0),"",AC382/Z382)</f>
        <v/>
      </c>
      <c r="AE382" s="25" t="str">
        <f aca="false">IF(OR(S382="",N(Z382)=0),"",IF($B382="Short",-1,1)*(S382-H382)*G382/Z382)</f>
        <v/>
      </c>
      <c r="AF382" s="25" t="str">
        <f aca="false">IF(OR(T382="",N(Z382)=0),"",IF($B382="Short",-1,1)*(T382-H382)*G382/Z382)</f>
        <v/>
      </c>
      <c r="AG382" s="21" t="str">
        <f aca="false">IF(U382&lt;&gt;"Open","",Y382*MAX(0,IF($B382="Short",-1,1)*(H382-IF(K382="",I382,K382))))</f>
        <v/>
      </c>
      <c r="AH382" s="26" t="str">
        <f aca="false">IF(U382&lt;&gt;"Closed","",DATE(YEAR(P382),MONTH(P382),1))</f>
        <v/>
      </c>
      <c r="AI382" s="19" t="str">
        <f aca="false">IF(U382&lt;&gt;"Closed","",COUNTIFS($U$7:$U$506,"Closed",$P$7:$P$506,"&lt;"&amp;P382)+COUNTIFS($U$7:U382,"Closed",$P$7:P382,P382))</f>
        <v/>
      </c>
    </row>
    <row r="383" customFormat="false" ht="15" hidden="false" customHeight="false" outlineLevel="0" collapsed="false">
      <c r="A383" s="13"/>
      <c r="B383" s="48"/>
      <c r="C383" s="48"/>
      <c r="D383" s="48"/>
      <c r="E383" s="15"/>
      <c r="F383" s="15"/>
      <c r="G383" s="16"/>
      <c r="H383" s="17"/>
      <c r="I383" s="17"/>
      <c r="J383" s="17"/>
      <c r="K383" s="17"/>
      <c r="L383" s="16"/>
      <c r="M383" s="17"/>
      <c r="N383" s="16"/>
      <c r="O383" s="17"/>
      <c r="P383" s="15"/>
      <c r="Q383" s="17"/>
      <c r="R383" s="17"/>
      <c r="S383" s="17"/>
      <c r="T383" s="17"/>
      <c r="U383" s="18" t="str">
        <f aca="false">IF(A383="","",IF(N(G383)-N(L383)-N(N383)&lt;0,"Check shares",IF(AND(P383&lt;&gt;"",Q383&lt;&gt;""),"Closed","Open")))</f>
        <v/>
      </c>
      <c r="V383" s="19" t="str">
        <f aca="false">IF(OR(F383="",P383=""),"",NETWORKDAYS(F383,P383,Lists!$F$5:$F$40)-1)</f>
        <v/>
      </c>
      <c r="W383" s="18" t="str">
        <f aca="false">IF(V383="","",IF(V383=0,"Same day","Overnight"))</f>
        <v/>
      </c>
      <c r="X383" s="18" t="str">
        <f aca="false">IF(OR(E383="",F383=""),"",IF(AND(E383&gt;=F383,OR(P383="",E383&lt;=P383)),"Yes","No"))</f>
        <v/>
      </c>
      <c r="Y383" s="20" t="str">
        <f aca="false">IF(A383="","",N(G383)-N(L383)-N(N383))</f>
        <v/>
      </c>
      <c r="Z383" s="21" t="str">
        <f aca="false">IF(OR(G383="",H383="",I383=""),"",ABS(H383-I383)*G383)</f>
        <v/>
      </c>
      <c r="AA383" s="22" t="str">
        <f aca="false">IF(OR(J383="",N(Z383)=0),"",ABS(J383-H383)/ABS(H383-I383))</f>
        <v/>
      </c>
      <c r="AB383" s="23" t="str">
        <f aca="false">IF(U383&lt;&gt;"Closed","",(N(L383)*N(M383)+N(N383)*N(O383)+Y383*Q383)/G383)</f>
        <v/>
      </c>
      <c r="AC383" s="24" t="str">
        <f aca="false">IF(U383&lt;&gt;"Closed","",IF($B383="Short",-1,1)*((N(M383)-H383)*N(L383)+(N(O383)-H383)*N(N383)+(Q383-H383)*Y383)-N(R383))</f>
        <v/>
      </c>
      <c r="AD383" s="25" t="str">
        <f aca="false">IF(OR(AC383="",N(Z383)=0),"",AC383/Z383)</f>
        <v/>
      </c>
      <c r="AE383" s="25" t="str">
        <f aca="false">IF(OR(S383="",N(Z383)=0),"",IF($B383="Short",-1,1)*(S383-H383)*G383/Z383)</f>
        <v/>
      </c>
      <c r="AF383" s="25" t="str">
        <f aca="false">IF(OR(T383="",N(Z383)=0),"",IF($B383="Short",-1,1)*(T383-H383)*G383/Z383)</f>
        <v/>
      </c>
      <c r="AG383" s="21" t="str">
        <f aca="false">IF(U383&lt;&gt;"Open","",Y383*MAX(0,IF($B383="Short",-1,1)*(H383-IF(K383="",I383,K383))))</f>
        <v/>
      </c>
      <c r="AH383" s="26" t="str">
        <f aca="false">IF(U383&lt;&gt;"Closed","",DATE(YEAR(P383),MONTH(P383),1))</f>
        <v/>
      </c>
      <c r="AI383" s="19" t="str">
        <f aca="false">IF(U383&lt;&gt;"Closed","",COUNTIFS($U$7:$U$506,"Closed",$P$7:$P$506,"&lt;"&amp;P383)+COUNTIFS($U$7:U383,"Closed",$P$7:P383,P383))</f>
        <v/>
      </c>
    </row>
    <row r="384" customFormat="false" ht="15" hidden="false" customHeight="false" outlineLevel="0" collapsed="false">
      <c r="A384" s="13"/>
      <c r="B384" s="48"/>
      <c r="C384" s="48"/>
      <c r="D384" s="48"/>
      <c r="E384" s="15"/>
      <c r="F384" s="15"/>
      <c r="G384" s="16"/>
      <c r="H384" s="17"/>
      <c r="I384" s="17"/>
      <c r="J384" s="17"/>
      <c r="K384" s="17"/>
      <c r="L384" s="16"/>
      <c r="M384" s="17"/>
      <c r="N384" s="16"/>
      <c r="O384" s="17"/>
      <c r="P384" s="15"/>
      <c r="Q384" s="17"/>
      <c r="R384" s="17"/>
      <c r="S384" s="17"/>
      <c r="T384" s="17"/>
      <c r="U384" s="18" t="str">
        <f aca="false">IF(A384="","",IF(N(G384)-N(L384)-N(N384)&lt;0,"Check shares",IF(AND(P384&lt;&gt;"",Q384&lt;&gt;""),"Closed","Open")))</f>
        <v/>
      </c>
      <c r="V384" s="19" t="str">
        <f aca="false">IF(OR(F384="",P384=""),"",NETWORKDAYS(F384,P384,Lists!$F$5:$F$40)-1)</f>
        <v/>
      </c>
      <c r="W384" s="18" t="str">
        <f aca="false">IF(V384="","",IF(V384=0,"Same day","Overnight"))</f>
        <v/>
      </c>
      <c r="X384" s="18" t="str">
        <f aca="false">IF(OR(E384="",F384=""),"",IF(AND(E384&gt;=F384,OR(P384="",E384&lt;=P384)),"Yes","No"))</f>
        <v/>
      </c>
      <c r="Y384" s="20" t="str">
        <f aca="false">IF(A384="","",N(G384)-N(L384)-N(N384))</f>
        <v/>
      </c>
      <c r="Z384" s="21" t="str">
        <f aca="false">IF(OR(G384="",H384="",I384=""),"",ABS(H384-I384)*G384)</f>
        <v/>
      </c>
      <c r="AA384" s="22" t="str">
        <f aca="false">IF(OR(J384="",N(Z384)=0),"",ABS(J384-H384)/ABS(H384-I384))</f>
        <v/>
      </c>
      <c r="AB384" s="23" t="str">
        <f aca="false">IF(U384&lt;&gt;"Closed","",(N(L384)*N(M384)+N(N384)*N(O384)+Y384*Q384)/G384)</f>
        <v/>
      </c>
      <c r="AC384" s="24" t="str">
        <f aca="false">IF(U384&lt;&gt;"Closed","",IF($B384="Short",-1,1)*((N(M384)-H384)*N(L384)+(N(O384)-H384)*N(N384)+(Q384-H384)*Y384)-N(R384))</f>
        <v/>
      </c>
      <c r="AD384" s="25" t="str">
        <f aca="false">IF(OR(AC384="",N(Z384)=0),"",AC384/Z384)</f>
        <v/>
      </c>
      <c r="AE384" s="25" t="str">
        <f aca="false">IF(OR(S384="",N(Z384)=0),"",IF($B384="Short",-1,1)*(S384-H384)*G384/Z384)</f>
        <v/>
      </c>
      <c r="AF384" s="25" t="str">
        <f aca="false">IF(OR(T384="",N(Z384)=0),"",IF($B384="Short",-1,1)*(T384-H384)*G384/Z384)</f>
        <v/>
      </c>
      <c r="AG384" s="21" t="str">
        <f aca="false">IF(U384&lt;&gt;"Open","",Y384*MAX(0,IF($B384="Short",-1,1)*(H384-IF(K384="",I384,K384))))</f>
        <v/>
      </c>
      <c r="AH384" s="26" t="str">
        <f aca="false">IF(U384&lt;&gt;"Closed","",DATE(YEAR(P384),MONTH(P384),1))</f>
        <v/>
      </c>
      <c r="AI384" s="19" t="str">
        <f aca="false">IF(U384&lt;&gt;"Closed","",COUNTIFS($U$7:$U$506,"Closed",$P$7:$P$506,"&lt;"&amp;P384)+COUNTIFS($U$7:U384,"Closed",$P$7:P384,P384))</f>
        <v/>
      </c>
    </row>
    <row r="385" customFormat="false" ht="15" hidden="false" customHeight="false" outlineLevel="0" collapsed="false">
      <c r="A385" s="13"/>
      <c r="B385" s="48"/>
      <c r="C385" s="48"/>
      <c r="D385" s="48"/>
      <c r="E385" s="15"/>
      <c r="F385" s="15"/>
      <c r="G385" s="16"/>
      <c r="H385" s="17"/>
      <c r="I385" s="17"/>
      <c r="J385" s="17"/>
      <c r="K385" s="17"/>
      <c r="L385" s="16"/>
      <c r="M385" s="17"/>
      <c r="N385" s="16"/>
      <c r="O385" s="17"/>
      <c r="P385" s="15"/>
      <c r="Q385" s="17"/>
      <c r="R385" s="17"/>
      <c r="S385" s="17"/>
      <c r="T385" s="17"/>
      <c r="U385" s="18" t="str">
        <f aca="false">IF(A385="","",IF(N(G385)-N(L385)-N(N385)&lt;0,"Check shares",IF(AND(P385&lt;&gt;"",Q385&lt;&gt;""),"Closed","Open")))</f>
        <v/>
      </c>
      <c r="V385" s="19" t="str">
        <f aca="false">IF(OR(F385="",P385=""),"",NETWORKDAYS(F385,P385,Lists!$F$5:$F$40)-1)</f>
        <v/>
      </c>
      <c r="W385" s="18" t="str">
        <f aca="false">IF(V385="","",IF(V385=0,"Same day","Overnight"))</f>
        <v/>
      </c>
      <c r="X385" s="18" t="str">
        <f aca="false">IF(OR(E385="",F385=""),"",IF(AND(E385&gt;=F385,OR(P385="",E385&lt;=P385)),"Yes","No"))</f>
        <v/>
      </c>
      <c r="Y385" s="20" t="str">
        <f aca="false">IF(A385="","",N(G385)-N(L385)-N(N385))</f>
        <v/>
      </c>
      <c r="Z385" s="21" t="str">
        <f aca="false">IF(OR(G385="",H385="",I385=""),"",ABS(H385-I385)*G385)</f>
        <v/>
      </c>
      <c r="AA385" s="22" t="str">
        <f aca="false">IF(OR(J385="",N(Z385)=0),"",ABS(J385-H385)/ABS(H385-I385))</f>
        <v/>
      </c>
      <c r="AB385" s="23" t="str">
        <f aca="false">IF(U385&lt;&gt;"Closed","",(N(L385)*N(M385)+N(N385)*N(O385)+Y385*Q385)/G385)</f>
        <v/>
      </c>
      <c r="AC385" s="24" t="str">
        <f aca="false">IF(U385&lt;&gt;"Closed","",IF($B385="Short",-1,1)*((N(M385)-H385)*N(L385)+(N(O385)-H385)*N(N385)+(Q385-H385)*Y385)-N(R385))</f>
        <v/>
      </c>
      <c r="AD385" s="25" t="str">
        <f aca="false">IF(OR(AC385="",N(Z385)=0),"",AC385/Z385)</f>
        <v/>
      </c>
      <c r="AE385" s="25" t="str">
        <f aca="false">IF(OR(S385="",N(Z385)=0),"",IF($B385="Short",-1,1)*(S385-H385)*G385/Z385)</f>
        <v/>
      </c>
      <c r="AF385" s="25" t="str">
        <f aca="false">IF(OR(T385="",N(Z385)=0),"",IF($B385="Short",-1,1)*(T385-H385)*G385/Z385)</f>
        <v/>
      </c>
      <c r="AG385" s="21" t="str">
        <f aca="false">IF(U385&lt;&gt;"Open","",Y385*MAX(0,IF($B385="Short",-1,1)*(H385-IF(K385="",I385,K385))))</f>
        <v/>
      </c>
      <c r="AH385" s="26" t="str">
        <f aca="false">IF(U385&lt;&gt;"Closed","",DATE(YEAR(P385),MONTH(P385),1))</f>
        <v/>
      </c>
      <c r="AI385" s="19" t="str">
        <f aca="false">IF(U385&lt;&gt;"Closed","",COUNTIFS($U$7:$U$506,"Closed",$P$7:$P$506,"&lt;"&amp;P385)+COUNTIFS($U$7:U385,"Closed",$P$7:P385,P385))</f>
        <v/>
      </c>
    </row>
    <row r="386" customFormat="false" ht="15" hidden="false" customHeight="false" outlineLevel="0" collapsed="false">
      <c r="A386" s="13"/>
      <c r="B386" s="48"/>
      <c r="C386" s="48"/>
      <c r="D386" s="48"/>
      <c r="E386" s="15"/>
      <c r="F386" s="15"/>
      <c r="G386" s="16"/>
      <c r="H386" s="17"/>
      <c r="I386" s="17"/>
      <c r="J386" s="17"/>
      <c r="K386" s="17"/>
      <c r="L386" s="16"/>
      <c r="M386" s="17"/>
      <c r="N386" s="16"/>
      <c r="O386" s="17"/>
      <c r="P386" s="15"/>
      <c r="Q386" s="17"/>
      <c r="R386" s="17"/>
      <c r="S386" s="17"/>
      <c r="T386" s="17"/>
      <c r="U386" s="18" t="str">
        <f aca="false">IF(A386="","",IF(N(G386)-N(L386)-N(N386)&lt;0,"Check shares",IF(AND(P386&lt;&gt;"",Q386&lt;&gt;""),"Closed","Open")))</f>
        <v/>
      </c>
      <c r="V386" s="19" t="str">
        <f aca="false">IF(OR(F386="",P386=""),"",NETWORKDAYS(F386,P386,Lists!$F$5:$F$40)-1)</f>
        <v/>
      </c>
      <c r="W386" s="18" t="str">
        <f aca="false">IF(V386="","",IF(V386=0,"Same day","Overnight"))</f>
        <v/>
      </c>
      <c r="X386" s="18" t="str">
        <f aca="false">IF(OR(E386="",F386=""),"",IF(AND(E386&gt;=F386,OR(P386="",E386&lt;=P386)),"Yes","No"))</f>
        <v/>
      </c>
      <c r="Y386" s="20" t="str">
        <f aca="false">IF(A386="","",N(G386)-N(L386)-N(N386))</f>
        <v/>
      </c>
      <c r="Z386" s="21" t="str">
        <f aca="false">IF(OR(G386="",H386="",I386=""),"",ABS(H386-I386)*G386)</f>
        <v/>
      </c>
      <c r="AA386" s="22" t="str">
        <f aca="false">IF(OR(J386="",N(Z386)=0),"",ABS(J386-H386)/ABS(H386-I386))</f>
        <v/>
      </c>
      <c r="AB386" s="23" t="str">
        <f aca="false">IF(U386&lt;&gt;"Closed","",(N(L386)*N(M386)+N(N386)*N(O386)+Y386*Q386)/G386)</f>
        <v/>
      </c>
      <c r="AC386" s="24" t="str">
        <f aca="false">IF(U386&lt;&gt;"Closed","",IF($B386="Short",-1,1)*((N(M386)-H386)*N(L386)+(N(O386)-H386)*N(N386)+(Q386-H386)*Y386)-N(R386))</f>
        <v/>
      </c>
      <c r="AD386" s="25" t="str">
        <f aca="false">IF(OR(AC386="",N(Z386)=0),"",AC386/Z386)</f>
        <v/>
      </c>
      <c r="AE386" s="25" t="str">
        <f aca="false">IF(OR(S386="",N(Z386)=0),"",IF($B386="Short",-1,1)*(S386-H386)*G386/Z386)</f>
        <v/>
      </c>
      <c r="AF386" s="25" t="str">
        <f aca="false">IF(OR(T386="",N(Z386)=0),"",IF($B386="Short",-1,1)*(T386-H386)*G386/Z386)</f>
        <v/>
      </c>
      <c r="AG386" s="21" t="str">
        <f aca="false">IF(U386&lt;&gt;"Open","",Y386*MAX(0,IF($B386="Short",-1,1)*(H386-IF(K386="",I386,K386))))</f>
        <v/>
      </c>
      <c r="AH386" s="26" t="str">
        <f aca="false">IF(U386&lt;&gt;"Closed","",DATE(YEAR(P386),MONTH(P386),1))</f>
        <v/>
      </c>
      <c r="AI386" s="19" t="str">
        <f aca="false">IF(U386&lt;&gt;"Closed","",COUNTIFS($U$7:$U$506,"Closed",$P$7:$P$506,"&lt;"&amp;P386)+COUNTIFS($U$7:U386,"Closed",$P$7:P386,P386))</f>
        <v/>
      </c>
    </row>
    <row r="387" customFormat="false" ht="15" hidden="false" customHeight="false" outlineLevel="0" collapsed="false">
      <c r="A387" s="13"/>
      <c r="B387" s="48"/>
      <c r="C387" s="48"/>
      <c r="D387" s="48"/>
      <c r="E387" s="15"/>
      <c r="F387" s="15"/>
      <c r="G387" s="16"/>
      <c r="H387" s="17"/>
      <c r="I387" s="17"/>
      <c r="J387" s="17"/>
      <c r="K387" s="17"/>
      <c r="L387" s="16"/>
      <c r="M387" s="17"/>
      <c r="N387" s="16"/>
      <c r="O387" s="17"/>
      <c r="P387" s="15"/>
      <c r="Q387" s="17"/>
      <c r="R387" s="17"/>
      <c r="S387" s="17"/>
      <c r="T387" s="17"/>
      <c r="U387" s="18" t="str">
        <f aca="false">IF(A387="","",IF(N(G387)-N(L387)-N(N387)&lt;0,"Check shares",IF(AND(P387&lt;&gt;"",Q387&lt;&gt;""),"Closed","Open")))</f>
        <v/>
      </c>
      <c r="V387" s="19" t="str">
        <f aca="false">IF(OR(F387="",P387=""),"",NETWORKDAYS(F387,P387,Lists!$F$5:$F$40)-1)</f>
        <v/>
      </c>
      <c r="W387" s="18" t="str">
        <f aca="false">IF(V387="","",IF(V387=0,"Same day","Overnight"))</f>
        <v/>
      </c>
      <c r="X387" s="18" t="str">
        <f aca="false">IF(OR(E387="",F387=""),"",IF(AND(E387&gt;=F387,OR(P387="",E387&lt;=P387)),"Yes","No"))</f>
        <v/>
      </c>
      <c r="Y387" s="20" t="str">
        <f aca="false">IF(A387="","",N(G387)-N(L387)-N(N387))</f>
        <v/>
      </c>
      <c r="Z387" s="21" t="str">
        <f aca="false">IF(OR(G387="",H387="",I387=""),"",ABS(H387-I387)*G387)</f>
        <v/>
      </c>
      <c r="AA387" s="22" t="str">
        <f aca="false">IF(OR(J387="",N(Z387)=0),"",ABS(J387-H387)/ABS(H387-I387))</f>
        <v/>
      </c>
      <c r="AB387" s="23" t="str">
        <f aca="false">IF(U387&lt;&gt;"Closed","",(N(L387)*N(M387)+N(N387)*N(O387)+Y387*Q387)/G387)</f>
        <v/>
      </c>
      <c r="AC387" s="24" t="str">
        <f aca="false">IF(U387&lt;&gt;"Closed","",IF($B387="Short",-1,1)*((N(M387)-H387)*N(L387)+(N(O387)-H387)*N(N387)+(Q387-H387)*Y387)-N(R387))</f>
        <v/>
      </c>
      <c r="AD387" s="25" t="str">
        <f aca="false">IF(OR(AC387="",N(Z387)=0),"",AC387/Z387)</f>
        <v/>
      </c>
      <c r="AE387" s="25" t="str">
        <f aca="false">IF(OR(S387="",N(Z387)=0),"",IF($B387="Short",-1,1)*(S387-H387)*G387/Z387)</f>
        <v/>
      </c>
      <c r="AF387" s="25" t="str">
        <f aca="false">IF(OR(T387="",N(Z387)=0),"",IF($B387="Short",-1,1)*(T387-H387)*G387/Z387)</f>
        <v/>
      </c>
      <c r="AG387" s="21" t="str">
        <f aca="false">IF(U387&lt;&gt;"Open","",Y387*MAX(0,IF($B387="Short",-1,1)*(H387-IF(K387="",I387,K387))))</f>
        <v/>
      </c>
      <c r="AH387" s="26" t="str">
        <f aca="false">IF(U387&lt;&gt;"Closed","",DATE(YEAR(P387),MONTH(P387),1))</f>
        <v/>
      </c>
      <c r="AI387" s="19" t="str">
        <f aca="false">IF(U387&lt;&gt;"Closed","",COUNTIFS($U$7:$U$506,"Closed",$P$7:$P$506,"&lt;"&amp;P387)+COUNTIFS($U$7:U387,"Closed",$P$7:P387,P387))</f>
        <v/>
      </c>
    </row>
    <row r="388" customFormat="false" ht="15" hidden="false" customHeight="false" outlineLevel="0" collapsed="false">
      <c r="A388" s="13"/>
      <c r="B388" s="48"/>
      <c r="C388" s="48"/>
      <c r="D388" s="48"/>
      <c r="E388" s="15"/>
      <c r="F388" s="15"/>
      <c r="G388" s="16"/>
      <c r="H388" s="17"/>
      <c r="I388" s="17"/>
      <c r="J388" s="17"/>
      <c r="K388" s="17"/>
      <c r="L388" s="16"/>
      <c r="M388" s="17"/>
      <c r="N388" s="16"/>
      <c r="O388" s="17"/>
      <c r="P388" s="15"/>
      <c r="Q388" s="17"/>
      <c r="R388" s="17"/>
      <c r="S388" s="17"/>
      <c r="T388" s="17"/>
      <c r="U388" s="18" t="str">
        <f aca="false">IF(A388="","",IF(N(G388)-N(L388)-N(N388)&lt;0,"Check shares",IF(AND(P388&lt;&gt;"",Q388&lt;&gt;""),"Closed","Open")))</f>
        <v/>
      </c>
      <c r="V388" s="19" t="str">
        <f aca="false">IF(OR(F388="",P388=""),"",NETWORKDAYS(F388,P388,Lists!$F$5:$F$40)-1)</f>
        <v/>
      </c>
      <c r="W388" s="18" t="str">
        <f aca="false">IF(V388="","",IF(V388=0,"Same day","Overnight"))</f>
        <v/>
      </c>
      <c r="X388" s="18" t="str">
        <f aca="false">IF(OR(E388="",F388=""),"",IF(AND(E388&gt;=F388,OR(P388="",E388&lt;=P388)),"Yes","No"))</f>
        <v/>
      </c>
      <c r="Y388" s="20" t="str">
        <f aca="false">IF(A388="","",N(G388)-N(L388)-N(N388))</f>
        <v/>
      </c>
      <c r="Z388" s="21" t="str">
        <f aca="false">IF(OR(G388="",H388="",I388=""),"",ABS(H388-I388)*G388)</f>
        <v/>
      </c>
      <c r="AA388" s="22" t="str">
        <f aca="false">IF(OR(J388="",N(Z388)=0),"",ABS(J388-H388)/ABS(H388-I388))</f>
        <v/>
      </c>
      <c r="AB388" s="23" t="str">
        <f aca="false">IF(U388&lt;&gt;"Closed","",(N(L388)*N(M388)+N(N388)*N(O388)+Y388*Q388)/G388)</f>
        <v/>
      </c>
      <c r="AC388" s="24" t="str">
        <f aca="false">IF(U388&lt;&gt;"Closed","",IF($B388="Short",-1,1)*((N(M388)-H388)*N(L388)+(N(O388)-H388)*N(N388)+(Q388-H388)*Y388)-N(R388))</f>
        <v/>
      </c>
      <c r="AD388" s="25" t="str">
        <f aca="false">IF(OR(AC388="",N(Z388)=0),"",AC388/Z388)</f>
        <v/>
      </c>
      <c r="AE388" s="25" t="str">
        <f aca="false">IF(OR(S388="",N(Z388)=0),"",IF($B388="Short",-1,1)*(S388-H388)*G388/Z388)</f>
        <v/>
      </c>
      <c r="AF388" s="25" t="str">
        <f aca="false">IF(OR(T388="",N(Z388)=0),"",IF($B388="Short",-1,1)*(T388-H388)*G388/Z388)</f>
        <v/>
      </c>
      <c r="AG388" s="21" t="str">
        <f aca="false">IF(U388&lt;&gt;"Open","",Y388*MAX(0,IF($B388="Short",-1,1)*(H388-IF(K388="",I388,K388))))</f>
        <v/>
      </c>
      <c r="AH388" s="26" t="str">
        <f aca="false">IF(U388&lt;&gt;"Closed","",DATE(YEAR(P388),MONTH(P388),1))</f>
        <v/>
      </c>
      <c r="AI388" s="19" t="str">
        <f aca="false">IF(U388&lt;&gt;"Closed","",COUNTIFS($U$7:$U$506,"Closed",$P$7:$P$506,"&lt;"&amp;P388)+COUNTIFS($U$7:U388,"Closed",$P$7:P388,P388))</f>
        <v/>
      </c>
    </row>
    <row r="389" customFormat="false" ht="15" hidden="false" customHeight="false" outlineLevel="0" collapsed="false">
      <c r="A389" s="13"/>
      <c r="B389" s="48"/>
      <c r="C389" s="48"/>
      <c r="D389" s="48"/>
      <c r="E389" s="15"/>
      <c r="F389" s="15"/>
      <c r="G389" s="16"/>
      <c r="H389" s="17"/>
      <c r="I389" s="17"/>
      <c r="J389" s="17"/>
      <c r="K389" s="17"/>
      <c r="L389" s="16"/>
      <c r="M389" s="17"/>
      <c r="N389" s="16"/>
      <c r="O389" s="17"/>
      <c r="P389" s="15"/>
      <c r="Q389" s="17"/>
      <c r="R389" s="17"/>
      <c r="S389" s="17"/>
      <c r="T389" s="17"/>
      <c r="U389" s="18" t="str">
        <f aca="false">IF(A389="","",IF(N(G389)-N(L389)-N(N389)&lt;0,"Check shares",IF(AND(P389&lt;&gt;"",Q389&lt;&gt;""),"Closed","Open")))</f>
        <v/>
      </c>
      <c r="V389" s="19" t="str">
        <f aca="false">IF(OR(F389="",P389=""),"",NETWORKDAYS(F389,P389,Lists!$F$5:$F$40)-1)</f>
        <v/>
      </c>
      <c r="W389" s="18" t="str">
        <f aca="false">IF(V389="","",IF(V389=0,"Same day","Overnight"))</f>
        <v/>
      </c>
      <c r="X389" s="18" t="str">
        <f aca="false">IF(OR(E389="",F389=""),"",IF(AND(E389&gt;=F389,OR(P389="",E389&lt;=P389)),"Yes","No"))</f>
        <v/>
      </c>
      <c r="Y389" s="20" t="str">
        <f aca="false">IF(A389="","",N(G389)-N(L389)-N(N389))</f>
        <v/>
      </c>
      <c r="Z389" s="21" t="str">
        <f aca="false">IF(OR(G389="",H389="",I389=""),"",ABS(H389-I389)*G389)</f>
        <v/>
      </c>
      <c r="AA389" s="22" t="str">
        <f aca="false">IF(OR(J389="",N(Z389)=0),"",ABS(J389-H389)/ABS(H389-I389))</f>
        <v/>
      </c>
      <c r="AB389" s="23" t="str">
        <f aca="false">IF(U389&lt;&gt;"Closed","",(N(L389)*N(M389)+N(N389)*N(O389)+Y389*Q389)/G389)</f>
        <v/>
      </c>
      <c r="AC389" s="24" t="str">
        <f aca="false">IF(U389&lt;&gt;"Closed","",IF($B389="Short",-1,1)*((N(M389)-H389)*N(L389)+(N(O389)-H389)*N(N389)+(Q389-H389)*Y389)-N(R389))</f>
        <v/>
      </c>
      <c r="AD389" s="25" t="str">
        <f aca="false">IF(OR(AC389="",N(Z389)=0),"",AC389/Z389)</f>
        <v/>
      </c>
      <c r="AE389" s="25" t="str">
        <f aca="false">IF(OR(S389="",N(Z389)=0),"",IF($B389="Short",-1,1)*(S389-H389)*G389/Z389)</f>
        <v/>
      </c>
      <c r="AF389" s="25" t="str">
        <f aca="false">IF(OR(T389="",N(Z389)=0),"",IF($B389="Short",-1,1)*(T389-H389)*G389/Z389)</f>
        <v/>
      </c>
      <c r="AG389" s="21" t="str">
        <f aca="false">IF(U389&lt;&gt;"Open","",Y389*MAX(0,IF($B389="Short",-1,1)*(H389-IF(K389="",I389,K389))))</f>
        <v/>
      </c>
      <c r="AH389" s="26" t="str">
        <f aca="false">IF(U389&lt;&gt;"Closed","",DATE(YEAR(P389),MONTH(P389),1))</f>
        <v/>
      </c>
      <c r="AI389" s="19" t="str">
        <f aca="false">IF(U389&lt;&gt;"Closed","",COUNTIFS($U$7:$U$506,"Closed",$P$7:$P$506,"&lt;"&amp;P389)+COUNTIFS($U$7:U389,"Closed",$P$7:P389,P389))</f>
        <v/>
      </c>
    </row>
    <row r="390" customFormat="false" ht="15" hidden="false" customHeight="false" outlineLevel="0" collapsed="false">
      <c r="A390" s="13"/>
      <c r="B390" s="48"/>
      <c r="C390" s="48"/>
      <c r="D390" s="48"/>
      <c r="E390" s="15"/>
      <c r="F390" s="15"/>
      <c r="G390" s="16"/>
      <c r="H390" s="17"/>
      <c r="I390" s="17"/>
      <c r="J390" s="17"/>
      <c r="K390" s="17"/>
      <c r="L390" s="16"/>
      <c r="M390" s="17"/>
      <c r="N390" s="16"/>
      <c r="O390" s="17"/>
      <c r="P390" s="15"/>
      <c r="Q390" s="17"/>
      <c r="R390" s="17"/>
      <c r="S390" s="17"/>
      <c r="T390" s="17"/>
      <c r="U390" s="18" t="str">
        <f aca="false">IF(A390="","",IF(N(G390)-N(L390)-N(N390)&lt;0,"Check shares",IF(AND(P390&lt;&gt;"",Q390&lt;&gt;""),"Closed","Open")))</f>
        <v/>
      </c>
      <c r="V390" s="19" t="str">
        <f aca="false">IF(OR(F390="",P390=""),"",NETWORKDAYS(F390,P390,Lists!$F$5:$F$40)-1)</f>
        <v/>
      </c>
      <c r="W390" s="18" t="str">
        <f aca="false">IF(V390="","",IF(V390=0,"Same day","Overnight"))</f>
        <v/>
      </c>
      <c r="X390" s="18" t="str">
        <f aca="false">IF(OR(E390="",F390=""),"",IF(AND(E390&gt;=F390,OR(P390="",E390&lt;=P390)),"Yes","No"))</f>
        <v/>
      </c>
      <c r="Y390" s="20" t="str">
        <f aca="false">IF(A390="","",N(G390)-N(L390)-N(N390))</f>
        <v/>
      </c>
      <c r="Z390" s="21" t="str">
        <f aca="false">IF(OR(G390="",H390="",I390=""),"",ABS(H390-I390)*G390)</f>
        <v/>
      </c>
      <c r="AA390" s="22" t="str">
        <f aca="false">IF(OR(J390="",N(Z390)=0),"",ABS(J390-H390)/ABS(H390-I390))</f>
        <v/>
      </c>
      <c r="AB390" s="23" t="str">
        <f aca="false">IF(U390&lt;&gt;"Closed","",(N(L390)*N(M390)+N(N390)*N(O390)+Y390*Q390)/G390)</f>
        <v/>
      </c>
      <c r="AC390" s="24" t="str">
        <f aca="false">IF(U390&lt;&gt;"Closed","",IF($B390="Short",-1,1)*((N(M390)-H390)*N(L390)+(N(O390)-H390)*N(N390)+(Q390-H390)*Y390)-N(R390))</f>
        <v/>
      </c>
      <c r="AD390" s="25" t="str">
        <f aca="false">IF(OR(AC390="",N(Z390)=0),"",AC390/Z390)</f>
        <v/>
      </c>
      <c r="AE390" s="25" t="str">
        <f aca="false">IF(OR(S390="",N(Z390)=0),"",IF($B390="Short",-1,1)*(S390-H390)*G390/Z390)</f>
        <v/>
      </c>
      <c r="AF390" s="25" t="str">
        <f aca="false">IF(OR(T390="",N(Z390)=0),"",IF($B390="Short",-1,1)*(T390-H390)*G390/Z390)</f>
        <v/>
      </c>
      <c r="AG390" s="21" t="str">
        <f aca="false">IF(U390&lt;&gt;"Open","",Y390*MAX(0,IF($B390="Short",-1,1)*(H390-IF(K390="",I390,K390))))</f>
        <v/>
      </c>
      <c r="AH390" s="26" t="str">
        <f aca="false">IF(U390&lt;&gt;"Closed","",DATE(YEAR(P390),MONTH(P390),1))</f>
        <v/>
      </c>
      <c r="AI390" s="19" t="str">
        <f aca="false">IF(U390&lt;&gt;"Closed","",COUNTIFS($U$7:$U$506,"Closed",$P$7:$P$506,"&lt;"&amp;P390)+COUNTIFS($U$7:U390,"Closed",$P$7:P390,P390))</f>
        <v/>
      </c>
    </row>
    <row r="391" customFormat="false" ht="15" hidden="false" customHeight="false" outlineLevel="0" collapsed="false">
      <c r="A391" s="13"/>
      <c r="B391" s="48"/>
      <c r="C391" s="48"/>
      <c r="D391" s="48"/>
      <c r="E391" s="15"/>
      <c r="F391" s="15"/>
      <c r="G391" s="16"/>
      <c r="H391" s="17"/>
      <c r="I391" s="17"/>
      <c r="J391" s="17"/>
      <c r="K391" s="17"/>
      <c r="L391" s="16"/>
      <c r="M391" s="17"/>
      <c r="N391" s="16"/>
      <c r="O391" s="17"/>
      <c r="P391" s="15"/>
      <c r="Q391" s="17"/>
      <c r="R391" s="17"/>
      <c r="S391" s="17"/>
      <c r="T391" s="17"/>
      <c r="U391" s="18" t="str">
        <f aca="false">IF(A391="","",IF(N(G391)-N(L391)-N(N391)&lt;0,"Check shares",IF(AND(P391&lt;&gt;"",Q391&lt;&gt;""),"Closed","Open")))</f>
        <v/>
      </c>
      <c r="V391" s="19" t="str">
        <f aca="false">IF(OR(F391="",P391=""),"",NETWORKDAYS(F391,P391,Lists!$F$5:$F$40)-1)</f>
        <v/>
      </c>
      <c r="W391" s="18" t="str">
        <f aca="false">IF(V391="","",IF(V391=0,"Same day","Overnight"))</f>
        <v/>
      </c>
      <c r="X391" s="18" t="str">
        <f aca="false">IF(OR(E391="",F391=""),"",IF(AND(E391&gt;=F391,OR(P391="",E391&lt;=P391)),"Yes","No"))</f>
        <v/>
      </c>
      <c r="Y391" s="20" t="str">
        <f aca="false">IF(A391="","",N(G391)-N(L391)-N(N391))</f>
        <v/>
      </c>
      <c r="Z391" s="21" t="str">
        <f aca="false">IF(OR(G391="",H391="",I391=""),"",ABS(H391-I391)*G391)</f>
        <v/>
      </c>
      <c r="AA391" s="22" t="str">
        <f aca="false">IF(OR(J391="",N(Z391)=0),"",ABS(J391-H391)/ABS(H391-I391))</f>
        <v/>
      </c>
      <c r="AB391" s="23" t="str">
        <f aca="false">IF(U391&lt;&gt;"Closed","",(N(L391)*N(M391)+N(N391)*N(O391)+Y391*Q391)/G391)</f>
        <v/>
      </c>
      <c r="AC391" s="24" t="str">
        <f aca="false">IF(U391&lt;&gt;"Closed","",IF($B391="Short",-1,1)*((N(M391)-H391)*N(L391)+(N(O391)-H391)*N(N391)+(Q391-H391)*Y391)-N(R391))</f>
        <v/>
      </c>
      <c r="AD391" s="25" t="str">
        <f aca="false">IF(OR(AC391="",N(Z391)=0),"",AC391/Z391)</f>
        <v/>
      </c>
      <c r="AE391" s="25" t="str">
        <f aca="false">IF(OR(S391="",N(Z391)=0),"",IF($B391="Short",-1,1)*(S391-H391)*G391/Z391)</f>
        <v/>
      </c>
      <c r="AF391" s="25" t="str">
        <f aca="false">IF(OR(T391="",N(Z391)=0),"",IF($B391="Short",-1,1)*(T391-H391)*G391/Z391)</f>
        <v/>
      </c>
      <c r="AG391" s="21" t="str">
        <f aca="false">IF(U391&lt;&gt;"Open","",Y391*MAX(0,IF($B391="Short",-1,1)*(H391-IF(K391="",I391,K391))))</f>
        <v/>
      </c>
      <c r="AH391" s="26" t="str">
        <f aca="false">IF(U391&lt;&gt;"Closed","",DATE(YEAR(P391),MONTH(P391),1))</f>
        <v/>
      </c>
      <c r="AI391" s="19" t="str">
        <f aca="false">IF(U391&lt;&gt;"Closed","",COUNTIFS($U$7:$U$506,"Closed",$P$7:$P$506,"&lt;"&amp;P391)+COUNTIFS($U$7:U391,"Closed",$P$7:P391,P391))</f>
        <v/>
      </c>
    </row>
    <row r="392" customFormat="false" ht="15" hidden="false" customHeight="false" outlineLevel="0" collapsed="false">
      <c r="A392" s="13"/>
      <c r="B392" s="48"/>
      <c r="C392" s="48"/>
      <c r="D392" s="48"/>
      <c r="E392" s="15"/>
      <c r="F392" s="15"/>
      <c r="G392" s="16"/>
      <c r="H392" s="17"/>
      <c r="I392" s="17"/>
      <c r="J392" s="17"/>
      <c r="K392" s="17"/>
      <c r="L392" s="16"/>
      <c r="M392" s="17"/>
      <c r="N392" s="16"/>
      <c r="O392" s="17"/>
      <c r="P392" s="15"/>
      <c r="Q392" s="17"/>
      <c r="R392" s="17"/>
      <c r="S392" s="17"/>
      <c r="T392" s="17"/>
      <c r="U392" s="18" t="str">
        <f aca="false">IF(A392="","",IF(N(G392)-N(L392)-N(N392)&lt;0,"Check shares",IF(AND(P392&lt;&gt;"",Q392&lt;&gt;""),"Closed","Open")))</f>
        <v/>
      </c>
      <c r="V392" s="19" t="str">
        <f aca="false">IF(OR(F392="",P392=""),"",NETWORKDAYS(F392,P392,Lists!$F$5:$F$40)-1)</f>
        <v/>
      </c>
      <c r="W392" s="18" t="str">
        <f aca="false">IF(V392="","",IF(V392=0,"Same day","Overnight"))</f>
        <v/>
      </c>
      <c r="X392" s="18" t="str">
        <f aca="false">IF(OR(E392="",F392=""),"",IF(AND(E392&gt;=F392,OR(P392="",E392&lt;=P392)),"Yes","No"))</f>
        <v/>
      </c>
      <c r="Y392" s="20" t="str">
        <f aca="false">IF(A392="","",N(G392)-N(L392)-N(N392))</f>
        <v/>
      </c>
      <c r="Z392" s="21" t="str">
        <f aca="false">IF(OR(G392="",H392="",I392=""),"",ABS(H392-I392)*G392)</f>
        <v/>
      </c>
      <c r="AA392" s="22" t="str">
        <f aca="false">IF(OR(J392="",N(Z392)=0),"",ABS(J392-H392)/ABS(H392-I392))</f>
        <v/>
      </c>
      <c r="AB392" s="23" t="str">
        <f aca="false">IF(U392&lt;&gt;"Closed","",(N(L392)*N(M392)+N(N392)*N(O392)+Y392*Q392)/G392)</f>
        <v/>
      </c>
      <c r="AC392" s="24" t="str">
        <f aca="false">IF(U392&lt;&gt;"Closed","",IF($B392="Short",-1,1)*((N(M392)-H392)*N(L392)+(N(O392)-H392)*N(N392)+(Q392-H392)*Y392)-N(R392))</f>
        <v/>
      </c>
      <c r="AD392" s="25" t="str">
        <f aca="false">IF(OR(AC392="",N(Z392)=0),"",AC392/Z392)</f>
        <v/>
      </c>
      <c r="AE392" s="25" t="str">
        <f aca="false">IF(OR(S392="",N(Z392)=0),"",IF($B392="Short",-1,1)*(S392-H392)*G392/Z392)</f>
        <v/>
      </c>
      <c r="AF392" s="25" t="str">
        <f aca="false">IF(OR(T392="",N(Z392)=0),"",IF($B392="Short",-1,1)*(T392-H392)*G392/Z392)</f>
        <v/>
      </c>
      <c r="AG392" s="21" t="str">
        <f aca="false">IF(U392&lt;&gt;"Open","",Y392*MAX(0,IF($B392="Short",-1,1)*(H392-IF(K392="",I392,K392))))</f>
        <v/>
      </c>
      <c r="AH392" s="26" t="str">
        <f aca="false">IF(U392&lt;&gt;"Closed","",DATE(YEAR(P392),MONTH(P392),1))</f>
        <v/>
      </c>
      <c r="AI392" s="19" t="str">
        <f aca="false">IF(U392&lt;&gt;"Closed","",COUNTIFS($U$7:$U$506,"Closed",$P$7:$P$506,"&lt;"&amp;P392)+COUNTIFS($U$7:U392,"Closed",$P$7:P392,P392))</f>
        <v/>
      </c>
    </row>
    <row r="393" customFormat="false" ht="15" hidden="false" customHeight="false" outlineLevel="0" collapsed="false">
      <c r="A393" s="13"/>
      <c r="B393" s="48"/>
      <c r="C393" s="48"/>
      <c r="D393" s="48"/>
      <c r="E393" s="15"/>
      <c r="F393" s="15"/>
      <c r="G393" s="16"/>
      <c r="H393" s="17"/>
      <c r="I393" s="17"/>
      <c r="J393" s="17"/>
      <c r="K393" s="17"/>
      <c r="L393" s="16"/>
      <c r="M393" s="17"/>
      <c r="N393" s="16"/>
      <c r="O393" s="17"/>
      <c r="P393" s="15"/>
      <c r="Q393" s="17"/>
      <c r="R393" s="17"/>
      <c r="S393" s="17"/>
      <c r="T393" s="17"/>
      <c r="U393" s="18" t="str">
        <f aca="false">IF(A393="","",IF(N(G393)-N(L393)-N(N393)&lt;0,"Check shares",IF(AND(P393&lt;&gt;"",Q393&lt;&gt;""),"Closed","Open")))</f>
        <v/>
      </c>
      <c r="V393" s="19" t="str">
        <f aca="false">IF(OR(F393="",P393=""),"",NETWORKDAYS(F393,P393,Lists!$F$5:$F$40)-1)</f>
        <v/>
      </c>
      <c r="W393" s="18" t="str">
        <f aca="false">IF(V393="","",IF(V393=0,"Same day","Overnight"))</f>
        <v/>
      </c>
      <c r="X393" s="18" t="str">
        <f aca="false">IF(OR(E393="",F393=""),"",IF(AND(E393&gt;=F393,OR(P393="",E393&lt;=P393)),"Yes","No"))</f>
        <v/>
      </c>
      <c r="Y393" s="20" t="str">
        <f aca="false">IF(A393="","",N(G393)-N(L393)-N(N393))</f>
        <v/>
      </c>
      <c r="Z393" s="21" t="str">
        <f aca="false">IF(OR(G393="",H393="",I393=""),"",ABS(H393-I393)*G393)</f>
        <v/>
      </c>
      <c r="AA393" s="22" t="str">
        <f aca="false">IF(OR(J393="",N(Z393)=0),"",ABS(J393-H393)/ABS(H393-I393))</f>
        <v/>
      </c>
      <c r="AB393" s="23" t="str">
        <f aca="false">IF(U393&lt;&gt;"Closed","",(N(L393)*N(M393)+N(N393)*N(O393)+Y393*Q393)/G393)</f>
        <v/>
      </c>
      <c r="AC393" s="24" t="str">
        <f aca="false">IF(U393&lt;&gt;"Closed","",IF($B393="Short",-1,1)*((N(M393)-H393)*N(L393)+(N(O393)-H393)*N(N393)+(Q393-H393)*Y393)-N(R393))</f>
        <v/>
      </c>
      <c r="AD393" s="25" t="str">
        <f aca="false">IF(OR(AC393="",N(Z393)=0),"",AC393/Z393)</f>
        <v/>
      </c>
      <c r="AE393" s="25" t="str">
        <f aca="false">IF(OR(S393="",N(Z393)=0),"",IF($B393="Short",-1,1)*(S393-H393)*G393/Z393)</f>
        <v/>
      </c>
      <c r="AF393" s="25" t="str">
        <f aca="false">IF(OR(T393="",N(Z393)=0),"",IF($B393="Short",-1,1)*(T393-H393)*G393/Z393)</f>
        <v/>
      </c>
      <c r="AG393" s="21" t="str">
        <f aca="false">IF(U393&lt;&gt;"Open","",Y393*MAX(0,IF($B393="Short",-1,1)*(H393-IF(K393="",I393,K393))))</f>
        <v/>
      </c>
      <c r="AH393" s="26" t="str">
        <f aca="false">IF(U393&lt;&gt;"Closed","",DATE(YEAR(P393),MONTH(P393),1))</f>
        <v/>
      </c>
      <c r="AI393" s="19" t="str">
        <f aca="false">IF(U393&lt;&gt;"Closed","",COUNTIFS($U$7:$U$506,"Closed",$P$7:$P$506,"&lt;"&amp;P393)+COUNTIFS($U$7:U393,"Closed",$P$7:P393,P393))</f>
        <v/>
      </c>
    </row>
    <row r="394" customFormat="false" ht="15" hidden="false" customHeight="false" outlineLevel="0" collapsed="false">
      <c r="A394" s="13"/>
      <c r="B394" s="48"/>
      <c r="C394" s="48"/>
      <c r="D394" s="48"/>
      <c r="E394" s="15"/>
      <c r="F394" s="15"/>
      <c r="G394" s="16"/>
      <c r="H394" s="17"/>
      <c r="I394" s="17"/>
      <c r="J394" s="17"/>
      <c r="K394" s="17"/>
      <c r="L394" s="16"/>
      <c r="M394" s="17"/>
      <c r="N394" s="16"/>
      <c r="O394" s="17"/>
      <c r="P394" s="15"/>
      <c r="Q394" s="17"/>
      <c r="R394" s="17"/>
      <c r="S394" s="17"/>
      <c r="T394" s="17"/>
      <c r="U394" s="18" t="str">
        <f aca="false">IF(A394="","",IF(N(G394)-N(L394)-N(N394)&lt;0,"Check shares",IF(AND(P394&lt;&gt;"",Q394&lt;&gt;""),"Closed","Open")))</f>
        <v/>
      </c>
      <c r="V394" s="19" t="str">
        <f aca="false">IF(OR(F394="",P394=""),"",NETWORKDAYS(F394,P394,Lists!$F$5:$F$40)-1)</f>
        <v/>
      </c>
      <c r="W394" s="18" t="str">
        <f aca="false">IF(V394="","",IF(V394=0,"Same day","Overnight"))</f>
        <v/>
      </c>
      <c r="X394" s="18" t="str">
        <f aca="false">IF(OR(E394="",F394=""),"",IF(AND(E394&gt;=F394,OR(P394="",E394&lt;=P394)),"Yes","No"))</f>
        <v/>
      </c>
      <c r="Y394" s="20" t="str">
        <f aca="false">IF(A394="","",N(G394)-N(L394)-N(N394))</f>
        <v/>
      </c>
      <c r="Z394" s="21" t="str">
        <f aca="false">IF(OR(G394="",H394="",I394=""),"",ABS(H394-I394)*G394)</f>
        <v/>
      </c>
      <c r="AA394" s="22" t="str">
        <f aca="false">IF(OR(J394="",N(Z394)=0),"",ABS(J394-H394)/ABS(H394-I394))</f>
        <v/>
      </c>
      <c r="AB394" s="23" t="str">
        <f aca="false">IF(U394&lt;&gt;"Closed","",(N(L394)*N(M394)+N(N394)*N(O394)+Y394*Q394)/G394)</f>
        <v/>
      </c>
      <c r="AC394" s="24" t="str">
        <f aca="false">IF(U394&lt;&gt;"Closed","",IF($B394="Short",-1,1)*((N(M394)-H394)*N(L394)+(N(O394)-H394)*N(N394)+(Q394-H394)*Y394)-N(R394))</f>
        <v/>
      </c>
      <c r="AD394" s="25" t="str">
        <f aca="false">IF(OR(AC394="",N(Z394)=0),"",AC394/Z394)</f>
        <v/>
      </c>
      <c r="AE394" s="25" t="str">
        <f aca="false">IF(OR(S394="",N(Z394)=0),"",IF($B394="Short",-1,1)*(S394-H394)*G394/Z394)</f>
        <v/>
      </c>
      <c r="AF394" s="25" t="str">
        <f aca="false">IF(OR(T394="",N(Z394)=0),"",IF($B394="Short",-1,1)*(T394-H394)*G394/Z394)</f>
        <v/>
      </c>
      <c r="AG394" s="21" t="str">
        <f aca="false">IF(U394&lt;&gt;"Open","",Y394*MAX(0,IF($B394="Short",-1,1)*(H394-IF(K394="",I394,K394))))</f>
        <v/>
      </c>
      <c r="AH394" s="26" t="str">
        <f aca="false">IF(U394&lt;&gt;"Closed","",DATE(YEAR(P394),MONTH(P394),1))</f>
        <v/>
      </c>
      <c r="AI394" s="19" t="str">
        <f aca="false">IF(U394&lt;&gt;"Closed","",COUNTIFS($U$7:$U$506,"Closed",$P$7:$P$506,"&lt;"&amp;P394)+COUNTIFS($U$7:U394,"Closed",$P$7:P394,P394))</f>
        <v/>
      </c>
    </row>
    <row r="395" customFormat="false" ht="15" hidden="false" customHeight="false" outlineLevel="0" collapsed="false">
      <c r="A395" s="13"/>
      <c r="B395" s="48"/>
      <c r="C395" s="48"/>
      <c r="D395" s="48"/>
      <c r="E395" s="15"/>
      <c r="F395" s="15"/>
      <c r="G395" s="16"/>
      <c r="H395" s="17"/>
      <c r="I395" s="17"/>
      <c r="J395" s="17"/>
      <c r="K395" s="17"/>
      <c r="L395" s="16"/>
      <c r="M395" s="17"/>
      <c r="N395" s="16"/>
      <c r="O395" s="17"/>
      <c r="P395" s="15"/>
      <c r="Q395" s="17"/>
      <c r="R395" s="17"/>
      <c r="S395" s="17"/>
      <c r="T395" s="17"/>
      <c r="U395" s="18" t="str">
        <f aca="false">IF(A395="","",IF(N(G395)-N(L395)-N(N395)&lt;0,"Check shares",IF(AND(P395&lt;&gt;"",Q395&lt;&gt;""),"Closed","Open")))</f>
        <v/>
      </c>
      <c r="V395" s="19" t="str">
        <f aca="false">IF(OR(F395="",P395=""),"",NETWORKDAYS(F395,P395,Lists!$F$5:$F$40)-1)</f>
        <v/>
      </c>
      <c r="W395" s="18" t="str">
        <f aca="false">IF(V395="","",IF(V395=0,"Same day","Overnight"))</f>
        <v/>
      </c>
      <c r="X395" s="18" t="str">
        <f aca="false">IF(OR(E395="",F395=""),"",IF(AND(E395&gt;=F395,OR(P395="",E395&lt;=P395)),"Yes","No"))</f>
        <v/>
      </c>
      <c r="Y395" s="20" t="str">
        <f aca="false">IF(A395="","",N(G395)-N(L395)-N(N395))</f>
        <v/>
      </c>
      <c r="Z395" s="21" t="str">
        <f aca="false">IF(OR(G395="",H395="",I395=""),"",ABS(H395-I395)*G395)</f>
        <v/>
      </c>
      <c r="AA395" s="22" t="str">
        <f aca="false">IF(OR(J395="",N(Z395)=0),"",ABS(J395-H395)/ABS(H395-I395))</f>
        <v/>
      </c>
      <c r="AB395" s="23" t="str">
        <f aca="false">IF(U395&lt;&gt;"Closed","",(N(L395)*N(M395)+N(N395)*N(O395)+Y395*Q395)/G395)</f>
        <v/>
      </c>
      <c r="AC395" s="24" t="str">
        <f aca="false">IF(U395&lt;&gt;"Closed","",IF($B395="Short",-1,1)*((N(M395)-H395)*N(L395)+(N(O395)-H395)*N(N395)+(Q395-H395)*Y395)-N(R395))</f>
        <v/>
      </c>
      <c r="AD395" s="25" t="str">
        <f aca="false">IF(OR(AC395="",N(Z395)=0),"",AC395/Z395)</f>
        <v/>
      </c>
      <c r="AE395" s="25" t="str">
        <f aca="false">IF(OR(S395="",N(Z395)=0),"",IF($B395="Short",-1,1)*(S395-H395)*G395/Z395)</f>
        <v/>
      </c>
      <c r="AF395" s="25" t="str">
        <f aca="false">IF(OR(T395="",N(Z395)=0),"",IF($B395="Short",-1,1)*(T395-H395)*G395/Z395)</f>
        <v/>
      </c>
      <c r="AG395" s="21" t="str">
        <f aca="false">IF(U395&lt;&gt;"Open","",Y395*MAX(0,IF($B395="Short",-1,1)*(H395-IF(K395="",I395,K395))))</f>
        <v/>
      </c>
      <c r="AH395" s="26" t="str">
        <f aca="false">IF(U395&lt;&gt;"Closed","",DATE(YEAR(P395),MONTH(P395),1))</f>
        <v/>
      </c>
      <c r="AI395" s="19" t="str">
        <f aca="false">IF(U395&lt;&gt;"Closed","",COUNTIFS($U$7:$U$506,"Closed",$P$7:$P$506,"&lt;"&amp;P395)+COUNTIFS($U$7:U395,"Closed",$P$7:P395,P395))</f>
        <v/>
      </c>
    </row>
    <row r="396" customFormat="false" ht="15" hidden="false" customHeight="false" outlineLevel="0" collapsed="false">
      <c r="A396" s="13"/>
      <c r="B396" s="48"/>
      <c r="C396" s="48"/>
      <c r="D396" s="48"/>
      <c r="E396" s="15"/>
      <c r="F396" s="15"/>
      <c r="G396" s="16"/>
      <c r="H396" s="17"/>
      <c r="I396" s="17"/>
      <c r="J396" s="17"/>
      <c r="K396" s="17"/>
      <c r="L396" s="16"/>
      <c r="M396" s="17"/>
      <c r="N396" s="16"/>
      <c r="O396" s="17"/>
      <c r="P396" s="15"/>
      <c r="Q396" s="17"/>
      <c r="R396" s="17"/>
      <c r="S396" s="17"/>
      <c r="T396" s="17"/>
      <c r="U396" s="18" t="str">
        <f aca="false">IF(A396="","",IF(N(G396)-N(L396)-N(N396)&lt;0,"Check shares",IF(AND(P396&lt;&gt;"",Q396&lt;&gt;""),"Closed","Open")))</f>
        <v/>
      </c>
      <c r="V396" s="19" t="str">
        <f aca="false">IF(OR(F396="",P396=""),"",NETWORKDAYS(F396,P396,Lists!$F$5:$F$40)-1)</f>
        <v/>
      </c>
      <c r="W396" s="18" t="str">
        <f aca="false">IF(V396="","",IF(V396=0,"Same day","Overnight"))</f>
        <v/>
      </c>
      <c r="X396" s="18" t="str">
        <f aca="false">IF(OR(E396="",F396=""),"",IF(AND(E396&gt;=F396,OR(P396="",E396&lt;=P396)),"Yes","No"))</f>
        <v/>
      </c>
      <c r="Y396" s="20" t="str">
        <f aca="false">IF(A396="","",N(G396)-N(L396)-N(N396))</f>
        <v/>
      </c>
      <c r="Z396" s="21" t="str">
        <f aca="false">IF(OR(G396="",H396="",I396=""),"",ABS(H396-I396)*G396)</f>
        <v/>
      </c>
      <c r="AA396" s="22" t="str">
        <f aca="false">IF(OR(J396="",N(Z396)=0),"",ABS(J396-H396)/ABS(H396-I396))</f>
        <v/>
      </c>
      <c r="AB396" s="23" t="str">
        <f aca="false">IF(U396&lt;&gt;"Closed","",(N(L396)*N(M396)+N(N396)*N(O396)+Y396*Q396)/G396)</f>
        <v/>
      </c>
      <c r="AC396" s="24" t="str">
        <f aca="false">IF(U396&lt;&gt;"Closed","",IF($B396="Short",-1,1)*((N(M396)-H396)*N(L396)+(N(O396)-H396)*N(N396)+(Q396-H396)*Y396)-N(R396))</f>
        <v/>
      </c>
      <c r="AD396" s="25" t="str">
        <f aca="false">IF(OR(AC396="",N(Z396)=0),"",AC396/Z396)</f>
        <v/>
      </c>
      <c r="AE396" s="25" t="str">
        <f aca="false">IF(OR(S396="",N(Z396)=0),"",IF($B396="Short",-1,1)*(S396-H396)*G396/Z396)</f>
        <v/>
      </c>
      <c r="AF396" s="25" t="str">
        <f aca="false">IF(OR(T396="",N(Z396)=0),"",IF($B396="Short",-1,1)*(T396-H396)*G396/Z396)</f>
        <v/>
      </c>
      <c r="AG396" s="21" t="str">
        <f aca="false">IF(U396&lt;&gt;"Open","",Y396*MAX(0,IF($B396="Short",-1,1)*(H396-IF(K396="",I396,K396))))</f>
        <v/>
      </c>
      <c r="AH396" s="26" t="str">
        <f aca="false">IF(U396&lt;&gt;"Closed","",DATE(YEAR(P396),MONTH(P396),1))</f>
        <v/>
      </c>
      <c r="AI396" s="19" t="str">
        <f aca="false">IF(U396&lt;&gt;"Closed","",COUNTIFS($U$7:$U$506,"Closed",$P$7:$P$506,"&lt;"&amp;P396)+COUNTIFS($U$7:U396,"Closed",$P$7:P396,P396))</f>
        <v/>
      </c>
    </row>
    <row r="397" customFormat="false" ht="15" hidden="false" customHeight="false" outlineLevel="0" collapsed="false">
      <c r="A397" s="13"/>
      <c r="B397" s="48"/>
      <c r="C397" s="48"/>
      <c r="D397" s="48"/>
      <c r="E397" s="15"/>
      <c r="F397" s="15"/>
      <c r="G397" s="16"/>
      <c r="H397" s="17"/>
      <c r="I397" s="17"/>
      <c r="J397" s="17"/>
      <c r="K397" s="17"/>
      <c r="L397" s="16"/>
      <c r="M397" s="17"/>
      <c r="N397" s="16"/>
      <c r="O397" s="17"/>
      <c r="P397" s="15"/>
      <c r="Q397" s="17"/>
      <c r="R397" s="17"/>
      <c r="S397" s="17"/>
      <c r="T397" s="17"/>
      <c r="U397" s="18" t="str">
        <f aca="false">IF(A397="","",IF(N(G397)-N(L397)-N(N397)&lt;0,"Check shares",IF(AND(P397&lt;&gt;"",Q397&lt;&gt;""),"Closed","Open")))</f>
        <v/>
      </c>
      <c r="V397" s="19" t="str">
        <f aca="false">IF(OR(F397="",P397=""),"",NETWORKDAYS(F397,P397,Lists!$F$5:$F$40)-1)</f>
        <v/>
      </c>
      <c r="W397" s="18" t="str">
        <f aca="false">IF(V397="","",IF(V397=0,"Same day","Overnight"))</f>
        <v/>
      </c>
      <c r="X397" s="18" t="str">
        <f aca="false">IF(OR(E397="",F397=""),"",IF(AND(E397&gt;=F397,OR(P397="",E397&lt;=P397)),"Yes","No"))</f>
        <v/>
      </c>
      <c r="Y397" s="20" t="str">
        <f aca="false">IF(A397="","",N(G397)-N(L397)-N(N397))</f>
        <v/>
      </c>
      <c r="Z397" s="21" t="str">
        <f aca="false">IF(OR(G397="",H397="",I397=""),"",ABS(H397-I397)*G397)</f>
        <v/>
      </c>
      <c r="AA397" s="22" t="str">
        <f aca="false">IF(OR(J397="",N(Z397)=0),"",ABS(J397-H397)/ABS(H397-I397))</f>
        <v/>
      </c>
      <c r="AB397" s="23" t="str">
        <f aca="false">IF(U397&lt;&gt;"Closed","",(N(L397)*N(M397)+N(N397)*N(O397)+Y397*Q397)/G397)</f>
        <v/>
      </c>
      <c r="AC397" s="24" t="str">
        <f aca="false">IF(U397&lt;&gt;"Closed","",IF($B397="Short",-1,1)*((N(M397)-H397)*N(L397)+(N(O397)-H397)*N(N397)+(Q397-H397)*Y397)-N(R397))</f>
        <v/>
      </c>
      <c r="AD397" s="25" t="str">
        <f aca="false">IF(OR(AC397="",N(Z397)=0),"",AC397/Z397)</f>
        <v/>
      </c>
      <c r="AE397" s="25" t="str">
        <f aca="false">IF(OR(S397="",N(Z397)=0),"",IF($B397="Short",-1,1)*(S397-H397)*G397/Z397)</f>
        <v/>
      </c>
      <c r="AF397" s="25" t="str">
        <f aca="false">IF(OR(T397="",N(Z397)=0),"",IF($B397="Short",-1,1)*(T397-H397)*G397/Z397)</f>
        <v/>
      </c>
      <c r="AG397" s="21" t="str">
        <f aca="false">IF(U397&lt;&gt;"Open","",Y397*MAX(0,IF($B397="Short",-1,1)*(H397-IF(K397="",I397,K397))))</f>
        <v/>
      </c>
      <c r="AH397" s="26" t="str">
        <f aca="false">IF(U397&lt;&gt;"Closed","",DATE(YEAR(P397),MONTH(P397),1))</f>
        <v/>
      </c>
      <c r="AI397" s="19" t="str">
        <f aca="false">IF(U397&lt;&gt;"Closed","",COUNTIFS($U$7:$U$506,"Closed",$P$7:$P$506,"&lt;"&amp;P397)+COUNTIFS($U$7:U397,"Closed",$P$7:P397,P397))</f>
        <v/>
      </c>
    </row>
    <row r="398" customFormat="false" ht="15" hidden="false" customHeight="false" outlineLevel="0" collapsed="false">
      <c r="A398" s="13"/>
      <c r="B398" s="48"/>
      <c r="C398" s="48"/>
      <c r="D398" s="48"/>
      <c r="E398" s="15"/>
      <c r="F398" s="15"/>
      <c r="G398" s="16"/>
      <c r="H398" s="17"/>
      <c r="I398" s="17"/>
      <c r="J398" s="17"/>
      <c r="K398" s="17"/>
      <c r="L398" s="16"/>
      <c r="M398" s="17"/>
      <c r="N398" s="16"/>
      <c r="O398" s="17"/>
      <c r="P398" s="15"/>
      <c r="Q398" s="17"/>
      <c r="R398" s="17"/>
      <c r="S398" s="17"/>
      <c r="T398" s="17"/>
      <c r="U398" s="18" t="str">
        <f aca="false">IF(A398="","",IF(N(G398)-N(L398)-N(N398)&lt;0,"Check shares",IF(AND(P398&lt;&gt;"",Q398&lt;&gt;""),"Closed","Open")))</f>
        <v/>
      </c>
      <c r="V398" s="19" t="str">
        <f aca="false">IF(OR(F398="",P398=""),"",NETWORKDAYS(F398,P398,Lists!$F$5:$F$40)-1)</f>
        <v/>
      </c>
      <c r="W398" s="18" t="str">
        <f aca="false">IF(V398="","",IF(V398=0,"Same day","Overnight"))</f>
        <v/>
      </c>
      <c r="X398" s="18" t="str">
        <f aca="false">IF(OR(E398="",F398=""),"",IF(AND(E398&gt;=F398,OR(P398="",E398&lt;=P398)),"Yes","No"))</f>
        <v/>
      </c>
      <c r="Y398" s="20" t="str">
        <f aca="false">IF(A398="","",N(G398)-N(L398)-N(N398))</f>
        <v/>
      </c>
      <c r="Z398" s="21" t="str">
        <f aca="false">IF(OR(G398="",H398="",I398=""),"",ABS(H398-I398)*G398)</f>
        <v/>
      </c>
      <c r="AA398" s="22" t="str">
        <f aca="false">IF(OR(J398="",N(Z398)=0),"",ABS(J398-H398)/ABS(H398-I398))</f>
        <v/>
      </c>
      <c r="AB398" s="23" t="str">
        <f aca="false">IF(U398&lt;&gt;"Closed","",(N(L398)*N(M398)+N(N398)*N(O398)+Y398*Q398)/G398)</f>
        <v/>
      </c>
      <c r="AC398" s="24" t="str">
        <f aca="false">IF(U398&lt;&gt;"Closed","",IF($B398="Short",-1,1)*((N(M398)-H398)*N(L398)+(N(O398)-H398)*N(N398)+(Q398-H398)*Y398)-N(R398))</f>
        <v/>
      </c>
      <c r="AD398" s="25" t="str">
        <f aca="false">IF(OR(AC398="",N(Z398)=0),"",AC398/Z398)</f>
        <v/>
      </c>
      <c r="AE398" s="25" t="str">
        <f aca="false">IF(OR(S398="",N(Z398)=0),"",IF($B398="Short",-1,1)*(S398-H398)*G398/Z398)</f>
        <v/>
      </c>
      <c r="AF398" s="25" t="str">
        <f aca="false">IF(OR(T398="",N(Z398)=0),"",IF($B398="Short",-1,1)*(T398-H398)*G398/Z398)</f>
        <v/>
      </c>
      <c r="AG398" s="21" t="str">
        <f aca="false">IF(U398&lt;&gt;"Open","",Y398*MAX(0,IF($B398="Short",-1,1)*(H398-IF(K398="",I398,K398))))</f>
        <v/>
      </c>
      <c r="AH398" s="26" t="str">
        <f aca="false">IF(U398&lt;&gt;"Closed","",DATE(YEAR(P398),MONTH(P398),1))</f>
        <v/>
      </c>
      <c r="AI398" s="19" t="str">
        <f aca="false">IF(U398&lt;&gt;"Closed","",COUNTIFS($U$7:$U$506,"Closed",$P$7:$P$506,"&lt;"&amp;P398)+COUNTIFS($U$7:U398,"Closed",$P$7:P398,P398))</f>
        <v/>
      </c>
    </row>
    <row r="399" customFormat="false" ht="15" hidden="false" customHeight="false" outlineLevel="0" collapsed="false">
      <c r="A399" s="13"/>
      <c r="B399" s="48"/>
      <c r="C399" s="48"/>
      <c r="D399" s="48"/>
      <c r="E399" s="15"/>
      <c r="F399" s="15"/>
      <c r="G399" s="16"/>
      <c r="H399" s="17"/>
      <c r="I399" s="17"/>
      <c r="J399" s="17"/>
      <c r="K399" s="17"/>
      <c r="L399" s="16"/>
      <c r="M399" s="17"/>
      <c r="N399" s="16"/>
      <c r="O399" s="17"/>
      <c r="P399" s="15"/>
      <c r="Q399" s="17"/>
      <c r="R399" s="17"/>
      <c r="S399" s="17"/>
      <c r="T399" s="17"/>
      <c r="U399" s="18" t="str">
        <f aca="false">IF(A399="","",IF(N(G399)-N(L399)-N(N399)&lt;0,"Check shares",IF(AND(P399&lt;&gt;"",Q399&lt;&gt;""),"Closed","Open")))</f>
        <v/>
      </c>
      <c r="V399" s="19" t="str">
        <f aca="false">IF(OR(F399="",P399=""),"",NETWORKDAYS(F399,P399,Lists!$F$5:$F$40)-1)</f>
        <v/>
      </c>
      <c r="W399" s="18" t="str">
        <f aca="false">IF(V399="","",IF(V399=0,"Same day","Overnight"))</f>
        <v/>
      </c>
      <c r="X399" s="18" t="str">
        <f aca="false">IF(OR(E399="",F399=""),"",IF(AND(E399&gt;=F399,OR(P399="",E399&lt;=P399)),"Yes","No"))</f>
        <v/>
      </c>
      <c r="Y399" s="20" t="str">
        <f aca="false">IF(A399="","",N(G399)-N(L399)-N(N399))</f>
        <v/>
      </c>
      <c r="Z399" s="21" t="str">
        <f aca="false">IF(OR(G399="",H399="",I399=""),"",ABS(H399-I399)*G399)</f>
        <v/>
      </c>
      <c r="AA399" s="22" t="str">
        <f aca="false">IF(OR(J399="",N(Z399)=0),"",ABS(J399-H399)/ABS(H399-I399))</f>
        <v/>
      </c>
      <c r="AB399" s="23" t="str">
        <f aca="false">IF(U399&lt;&gt;"Closed","",(N(L399)*N(M399)+N(N399)*N(O399)+Y399*Q399)/G399)</f>
        <v/>
      </c>
      <c r="AC399" s="24" t="str">
        <f aca="false">IF(U399&lt;&gt;"Closed","",IF($B399="Short",-1,1)*((N(M399)-H399)*N(L399)+(N(O399)-H399)*N(N399)+(Q399-H399)*Y399)-N(R399))</f>
        <v/>
      </c>
      <c r="AD399" s="25" t="str">
        <f aca="false">IF(OR(AC399="",N(Z399)=0),"",AC399/Z399)</f>
        <v/>
      </c>
      <c r="AE399" s="25" t="str">
        <f aca="false">IF(OR(S399="",N(Z399)=0),"",IF($B399="Short",-1,1)*(S399-H399)*G399/Z399)</f>
        <v/>
      </c>
      <c r="AF399" s="25" t="str">
        <f aca="false">IF(OR(T399="",N(Z399)=0),"",IF($B399="Short",-1,1)*(T399-H399)*G399/Z399)</f>
        <v/>
      </c>
      <c r="AG399" s="21" t="str">
        <f aca="false">IF(U399&lt;&gt;"Open","",Y399*MAX(0,IF($B399="Short",-1,1)*(H399-IF(K399="",I399,K399))))</f>
        <v/>
      </c>
      <c r="AH399" s="26" t="str">
        <f aca="false">IF(U399&lt;&gt;"Closed","",DATE(YEAR(P399),MONTH(P399),1))</f>
        <v/>
      </c>
      <c r="AI399" s="19" t="str">
        <f aca="false">IF(U399&lt;&gt;"Closed","",COUNTIFS($U$7:$U$506,"Closed",$P$7:$P$506,"&lt;"&amp;P399)+COUNTIFS($U$7:U399,"Closed",$P$7:P399,P399))</f>
        <v/>
      </c>
    </row>
    <row r="400" customFormat="false" ht="15" hidden="false" customHeight="false" outlineLevel="0" collapsed="false">
      <c r="A400" s="13"/>
      <c r="B400" s="48"/>
      <c r="C400" s="48"/>
      <c r="D400" s="48"/>
      <c r="E400" s="15"/>
      <c r="F400" s="15"/>
      <c r="G400" s="16"/>
      <c r="H400" s="17"/>
      <c r="I400" s="17"/>
      <c r="J400" s="17"/>
      <c r="K400" s="17"/>
      <c r="L400" s="16"/>
      <c r="M400" s="17"/>
      <c r="N400" s="16"/>
      <c r="O400" s="17"/>
      <c r="P400" s="15"/>
      <c r="Q400" s="17"/>
      <c r="R400" s="17"/>
      <c r="S400" s="17"/>
      <c r="T400" s="17"/>
      <c r="U400" s="18" t="str">
        <f aca="false">IF(A400="","",IF(N(G400)-N(L400)-N(N400)&lt;0,"Check shares",IF(AND(P400&lt;&gt;"",Q400&lt;&gt;""),"Closed","Open")))</f>
        <v/>
      </c>
      <c r="V400" s="19" t="str">
        <f aca="false">IF(OR(F400="",P400=""),"",NETWORKDAYS(F400,P400,Lists!$F$5:$F$40)-1)</f>
        <v/>
      </c>
      <c r="W400" s="18" t="str">
        <f aca="false">IF(V400="","",IF(V400=0,"Same day","Overnight"))</f>
        <v/>
      </c>
      <c r="X400" s="18" t="str">
        <f aca="false">IF(OR(E400="",F400=""),"",IF(AND(E400&gt;=F400,OR(P400="",E400&lt;=P400)),"Yes","No"))</f>
        <v/>
      </c>
      <c r="Y400" s="20" t="str">
        <f aca="false">IF(A400="","",N(G400)-N(L400)-N(N400))</f>
        <v/>
      </c>
      <c r="Z400" s="21" t="str">
        <f aca="false">IF(OR(G400="",H400="",I400=""),"",ABS(H400-I400)*G400)</f>
        <v/>
      </c>
      <c r="AA400" s="22" t="str">
        <f aca="false">IF(OR(J400="",N(Z400)=0),"",ABS(J400-H400)/ABS(H400-I400))</f>
        <v/>
      </c>
      <c r="AB400" s="23" t="str">
        <f aca="false">IF(U400&lt;&gt;"Closed","",(N(L400)*N(M400)+N(N400)*N(O400)+Y400*Q400)/G400)</f>
        <v/>
      </c>
      <c r="AC400" s="24" t="str">
        <f aca="false">IF(U400&lt;&gt;"Closed","",IF($B400="Short",-1,1)*((N(M400)-H400)*N(L400)+(N(O400)-H400)*N(N400)+(Q400-H400)*Y400)-N(R400))</f>
        <v/>
      </c>
      <c r="AD400" s="25" t="str">
        <f aca="false">IF(OR(AC400="",N(Z400)=0),"",AC400/Z400)</f>
        <v/>
      </c>
      <c r="AE400" s="25" t="str">
        <f aca="false">IF(OR(S400="",N(Z400)=0),"",IF($B400="Short",-1,1)*(S400-H400)*G400/Z400)</f>
        <v/>
      </c>
      <c r="AF400" s="25" t="str">
        <f aca="false">IF(OR(T400="",N(Z400)=0),"",IF($B400="Short",-1,1)*(T400-H400)*G400/Z400)</f>
        <v/>
      </c>
      <c r="AG400" s="21" t="str">
        <f aca="false">IF(U400&lt;&gt;"Open","",Y400*MAX(0,IF($B400="Short",-1,1)*(H400-IF(K400="",I400,K400))))</f>
        <v/>
      </c>
      <c r="AH400" s="26" t="str">
        <f aca="false">IF(U400&lt;&gt;"Closed","",DATE(YEAR(P400),MONTH(P400),1))</f>
        <v/>
      </c>
      <c r="AI400" s="19" t="str">
        <f aca="false">IF(U400&lt;&gt;"Closed","",COUNTIFS($U$7:$U$506,"Closed",$P$7:$P$506,"&lt;"&amp;P400)+COUNTIFS($U$7:U400,"Closed",$P$7:P400,P400))</f>
        <v/>
      </c>
    </row>
    <row r="401" customFormat="false" ht="15" hidden="false" customHeight="false" outlineLevel="0" collapsed="false">
      <c r="A401" s="13"/>
      <c r="B401" s="48"/>
      <c r="C401" s="48"/>
      <c r="D401" s="48"/>
      <c r="E401" s="15"/>
      <c r="F401" s="15"/>
      <c r="G401" s="16"/>
      <c r="H401" s="17"/>
      <c r="I401" s="17"/>
      <c r="J401" s="17"/>
      <c r="K401" s="17"/>
      <c r="L401" s="16"/>
      <c r="M401" s="17"/>
      <c r="N401" s="16"/>
      <c r="O401" s="17"/>
      <c r="P401" s="15"/>
      <c r="Q401" s="17"/>
      <c r="R401" s="17"/>
      <c r="S401" s="17"/>
      <c r="T401" s="17"/>
      <c r="U401" s="18" t="str">
        <f aca="false">IF(A401="","",IF(N(G401)-N(L401)-N(N401)&lt;0,"Check shares",IF(AND(P401&lt;&gt;"",Q401&lt;&gt;""),"Closed","Open")))</f>
        <v/>
      </c>
      <c r="V401" s="19" t="str">
        <f aca="false">IF(OR(F401="",P401=""),"",NETWORKDAYS(F401,P401,Lists!$F$5:$F$40)-1)</f>
        <v/>
      </c>
      <c r="W401" s="18" t="str">
        <f aca="false">IF(V401="","",IF(V401=0,"Same day","Overnight"))</f>
        <v/>
      </c>
      <c r="X401" s="18" t="str">
        <f aca="false">IF(OR(E401="",F401=""),"",IF(AND(E401&gt;=F401,OR(P401="",E401&lt;=P401)),"Yes","No"))</f>
        <v/>
      </c>
      <c r="Y401" s="20" t="str">
        <f aca="false">IF(A401="","",N(G401)-N(L401)-N(N401))</f>
        <v/>
      </c>
      <c r="Z401" s="21" t="str">
        <f aca="false">IF(OR(G401="",H401="",I401=""),"",ABS(H401-I401)*G401)</f>
        <v/>
      </c>
      <c r="AA401" s="22" t="str">
        <f aca="false">IF(OR(J401="",N(Z401)=0),"",ABS(J401-H401)/ABS(H401-I401))</f>
        <v/>
      </c>
      <c r="AB401" s="23" t="str">
        <f aca="false">IF(U401&lt;&gt;"Closed","",(N(L401)*N(M401)+N(N401)*N(O401)+Y401*Q401)/G401)</f>
        <v/>
      </c>
      <c r="AC401" s="24" t="str">
        <f aca="false">IF(U401&lt;&gt;"Closed","",IF($B401="Short",-1,1)*((N(M401)-H401)*N(L401)+(N(O401)-H401)*N(N401)+(Q401-H401)*Y401)-N(R401))</f>
        <v/>
      </c>
      <c r="AD401" s="25" t="str">
        <f aca="false">IF(OR(AC401="",N(Z401)=0),"",AC401/Z401)</f>
        <v/>
      </c>
      <c r="AE401" s="25" t="str">
        <f aca="false">IF(OR(S401="",N(Z401)=0),"",IF($B401="Short",-1,1)*(S401-H401)*G401/Z401)</f>
        <v/>
      </c>
      <c r="AF401" s="25" t="str">
        <f aca="false">IF(OR(T401="",N(Z401)=0),"",IF($B401="Short",-1,1)*(T401-H401)*G401/Z401)</f>
        <v/>
      </c>
      <c r="AG401" s="21" t="str">
        <f aca="false">IF(U401&lt;&gt;"Open","",Y401*MAX(0,IF($B401="Short",-1,1)*(H401-IF(K401="",I401,K401))))</f>
        <v/>
      </c>
      <c r="AH401" s="26" t="str">
        <f aca="false">IF(U401&lt;&gt;"Closed","",DATE(YEAR(P401),MONTH(P401),1))</f>
        <v/>
      </c>
      <c r="AI401" s="19" t="str">
        <f aca="false">IF(U401&lt;&gt;"Closed","",COUNTIFS($U$7:$U$506,"Closed",$P$7:$P$506,"&lt;"&amp;P401)+COUNTIFS($U$7:U401,"Closed",$P$7:P401,P401))</f>
        <v/>
      </c>
    </row>
    <row r="402" customFormat="false" ht="15" hidden="false" customHeight="false" outlineLevel="0" collapsed="false">
      <c r="A402" s="13"/>
      <c r="B402" s="48"/>
      <c r="C402" s="48"/>
      <c r="D402" s="48"/>
      <c r="E402" s="15"/>
      <c r="F402" s="15"/>
      <c r="G402" s="16"/>
      <c r="H402" s="17"/>
      <c r="I402" s="17"/>
      <c r="J402" s="17"/>
      <c r="K402" s="17"/>
      <c r="L402" s="16"/>
      <c r="M402" s="17"/>
      <c r="N402" s="16"/>
      <c r="O402" s="17"/>
      <c r="P402" s="15"/>
      <c r="Q402" s="17"/>
      <c r="R402" s="17"/>
      <c r="S402" s="17"/>
      <c r="T402" s="17"/>
      <c r="U402" s="18" t="str">
        <f aca="false">IF(A402="","",IF(N(G402)-N(L402)-N(N402)&lt;0,"Check shares",IF(AND(P402&lt;&gt;"",Q402&lt;&gt;""),"Closed","Open")))</f>
        <v/>
      </c>
      <c r="V402" s="19" t="str">
        <f aca="false">IF(OR(F402="",P402=""),"",NETWORKDAYS(F402,P402,Lists!$F$5:$F$40)-1)</f>
        <v/>
      </c>
      <c r="W402" s="18" t="str">
        <f aca="false">IF(V402="","",IF(V402=0,"Same day","Overnight"))</f>
        <v/>
      </c>
      <c r="X402" s="18" t="str">
        <f aca="false">IF(OR(E402="",F402=""),"",IF(AND(E402&gt;=F402,OR(P402="",E402&lt;=P402)),"Yes","No"))</f>
        <v/>
      </c>
      <c r="Y402" s="20" t="str">
        <f aca="false">IF(A402="","",N(G402)-N(L402)-N(N402))</f>
        <v/>
      </c>
      <c r="Z402" s="21" t="str">
        <f aca="false">IF(OR(G402="",H402="",I402=""),"",ABS(H402-I402)*G402)</f>
        <v/>
      </c>
      <c r="AA402" s="22" t="str">
        <f aca="false">IF(OR(J402="",N(Z402)=0),"",ABS(J402-H402)/ABS(H402-I402))</f>
        <v/>
      </c>
      <c r="AB402" s="23" t="str">
        <f aca="false">IF(U402&lt;&gt;"Closed","",(N(L402)*N(M402)+N(N402)*N(O402)+Y402*Q402)/G402)</f>
        <v/>
      </c>
      <c r="AC402" s="24" t="str">
        <f aca="false">IF(U402&lt;&gt;"Closed","",IF($B402="Short",-1,1)*((N(M402)-H402)*N(L402)+(N(O402)-H402)*N(N402)+(Q402-H402)*Y402)-N(R402))</f>
        <v/>
      </c>
      <c r="AD402" s="25" t="str">
        <f aca="false">IF(OR(AC402="",N(Z402)=0),"",AC402/Z402)</f>
        <v/>
      </c>
      <c r="AE402" s="25" t="str">
        <f aca="false">IF(OR(S402="",N(Z402)=0),"",IF($B402="Short",-1,1)*(S402-H402)*G402/Z402)</f>
        <v/>
      </c>
      <c r="AF402" s="25" t="str">
        <f aca="false">IF(OR(T402="",N(Z402)=0),"",IF($B402="Short",-1,1)*(T402-H402)*G402/Z402)</f>
        <v/>
      </c>
      <c r="AG402" s="21" t="str">
        <f aca="false">IF(U402&lt;&gt;"Open","",Y402*MAX(0,IF($B402="Short",-1,1)*(H402-IF(K402="",I402,K402))))</f>
        <v/>
      </c>
      <c r="AH402" s="26" t="str">
        <f aca="false">IF(U402&lt;&gt;"Closed","",DATE(YEAR(P402),MONTH(P402),1))</f>
        <v/>
      </c>
      <c r="AI402" s="19" t="str">
        <f aca="false">IF(U402&lt;&gt;"Closed","",COUNTIFS($U$7:$U$506,"Closed",$P$7:$P$506,"&lt;"&amp;P402)+COUNTIFS($U$7:U402,"Closed",$P$7:P402,P402))</f>
        <v/>
      </c>
    </row>
    <row r="403" customFormat="false" ht="15" hidden="false" customHeight="false" outlineLevel="0" collapsed="false">
      <c r="A403" s="13"/>
      <c r="B403" s="48"/>
      <c r="C403" s="48"/>
      <c r="D403" s="48"/>
      <c r="E403" s="15"/>
      <c r="F403" s="15"/>
      <c r="G403" s="16"/>
      <c r="H403" s="17"/>
      <c r="I403" s="17"/>
      <c r="J403" s="17"/>
      <c r="K403" s="17"/>
      <c r="L403" s="16"/>
      <c r="M403" s="17"/>
      <c r="N403" s="16"/>
      <c r="O403" s="17"/>
      <c r="P403" s="15"/>
      <c r="Q403" s="17"/>
      <c r="R403" s="17"/>
      <c r="S403" s="17"/>
      <c r="T403" s="17"/>
      <c r="U403" s="18" t="str">
        <f aca="false">IF(A403="","",IF(N(G403)-N(L403)-N(N403)&lt;0,"Check shares",IF(AND(P403&lt;&gt;"",Q403&lt;&gt;""),"Closed","Open")))</f>
        <v/>
      </c>
      <c r="V403" s="19" t="str">
        <f aca="false">IF(OR(F403="",P403=""),"",NETWORKDAYS(F403,P403,Lists!$F$5:$F$40)-1)</f>
        <v/>
      </c>
      <c r="W403" s="18" t="str">
        <f aca="false">IF(V403="","",IF(V403=0,"Same day","Overnight"))</f>
        <v/>
      </c>
      <c r="X403" s="18" t="str">
        <f aca="false">IF(OR(E403="",F403=""),"",IF(AND(E403&gt;=F403,OR(P403="",E403&lt;=P403)),"Yes","No"))</f>
        <v/>
      </c>
      <c r="Y403" s="20" t="str">
        <f aca="false">IF(A403="","",N(G403)-N(L403)-N(N403))</f>
        <v/>
      </c>
      <c r="Z403" s="21" t="str">
        <f aca="false">IF(OR(G403="",H403="",I403=""),"",ABS(H403-I403)*G403)</f>
        <v/>
      </c>
      <c r="AA403" s="22" t="str">
        <f aca="false">IF(OR(J403="",N(Z403)=0),"",ABS(J403-H403)/ABS(H403-I403))</f>
        <v/>
      </c>
      <c r="AB403" s="23" t="str">
        <f aca="false">IF(U403&lt;&gt;"Closed","",(N(L403)*N(M403)+N(N403)*N(O403)+Y403*Q403)/G403)</f>
        <v/>
      </c>
      <c r="AC403" s="24" t="str">
        <f aca="false">IF(U403&lt;&gt;"Closed","",IF($B403="Short",-1,1)*((N(M403)-H403)*N(L403)+(N(O403)-H403)*N(N403)+(Q403-H403)*Y403)-N(R403))</f>
        <v/>
      </c>
      <c r="AD403" s="25" t="str">
        <f aca="false">IF(OR(AC403="",N(Z403)=0),"",AC403/Z403)</f>
        <v/>
      </c>
      <c r="AE403" s="25" t="str">
        <f aca="false">IF(OR(S403="",N(Z403)=0),"",IF($B403="Short",-1,1)*(S403-H403)*G403/Z403)</f>
        <v/>
      </c>
      <c r="AF403" s="25" t="str">
        <f aca="false">IF(OR(T403="",N(Z403)=0),"",IF($B403="Short",-1,1)*(T403-H403)*G403/Z403)</f>
        <v/>
      </c>
      <c r="AG403" s="21" t="str">
        <f aca="false">IF(U403&lt;&gt;"Open","",Y403*MAX(0,IF($B403="Short",-1,1)*(H403-IF(K403="",I403,K403))))</f>
        <v/>
      </c>
      <c r="AH403" s="26" t="str">
        <f aca="false">IF(U403&lt;&gt;"Closed","",DATE(YEAR(P403),MONTH(P403),1))</f>
        <v/>
      </c>
      <c r="AI403" s="19" t="str">
        <f aca="false">IF(U403&lt;&gt;"Closed","",COUNTIFS($U$7:$U$506,"Closed",$P$7:$P$506,"&lt;"&amp;P403)+COUNTIFS($U$7:U403,"Closed",$P$7:P403,P403))</f>
        <v/>
      </c>
    </row>
    <row r="404" customFormat="false" ht="15" hidden="false" customHeight="false" outlineLevel="0" collapsed="false">
      <c r="A404" s="13"/>
      <c r="B404" s="48"/>
      <c r="C404" s="48"/>
      <c r="D404" s="48"/>
      <c r="E404" s="15"/>
      <c r="F404" s="15"/>
      <c r="G404" s="16"/>
      <c r="H404" s="17"/>
      <c r="I404" s="17"/>
      <c r="J404" s="17"/>
      <c r="K404" s="17"/>
      <c r="L404" s="16"/>
      <c r="M404" s="17"/>
      <c r="N404" s="16"/>
      <c r="O404" s="17"/>
      <c r="P404" s="15"/>
      <c r="Q404" s="17"/>
      <c r="R404" s="17"/>
      <c r="S404" s="17"/>
      <c r="T404" s="17"/>
      <c r="U404" s="18" t="str">
        <f aca="false">IF(A404="","",IF(N(G404)-N(L404)-N(N404)&lt;0,"Check shares",IF(AND(P404&lt;&gt;"",Q404&lt;&gt;""),"Closed","Open")))</f>
        <v/>
      </c>
      <c r="V404" s="19" t="str">
        <f aca="false">IF(OR(F404="",P404=""),"",NETWORKDAYS(F404,P404,Lists!$F$5:$F$40)-1)</f>
        <v/>
      </c>
      <c r="W404" s="18" t="str">
        <f aca="false">IF(V404="","",IF(V404=0,"Same day","Overnight"))</f>
        <v/>
      </c>
      <c r="X404" s="18" t="str">
        <f aca="false">IF(OR(E404="",F404=""),"",IF(AND(E404&gt;=F404,OR(P404="",E404&lt;=P404)),"Yes","No"))</f>
        <v/>
      </c>
      <c r="Y404" s="20" t="str">
        <f aca="false">IF(A404="","",N(G404)-N(L404)-N(N404))</f>
        <v/>
      </c>
      <c r="Z404" s="21" t="str">
        <f aca="false">IF(OR(G404="",H404="",I404=""),"",ABS(H404-I404)*G404)</f>
        <v/>
      </c>
      <c r="AA404" s="22" t="str">
        <f aca="false">IF(OR(J404="",N(Z404)=0),"",ABS(J404-H404)/ABS(H404-I404))</f>
        <v/>
      </c>
      <c r="AB404" s="23" t="str">
        <f aca="false">IF(U404&lt;&gt;"Closed","",(N(L404)*N(M404)+N(N404)*N(O404)+Y404*Q404)/G404)</f>
        <v/>
      </c>
      <c r="AC404" s="24" t="str">
        <f aca="false">IF(U404&lt;&gt;"Closed","",IF($B404="Short",-1,1)*((N(M404)-H404)*N(L404)+(N(O404)-H404)*N(N404)+(Q404-H404)*Y404)-N(R404))</f>
        <v/>
      </c>
      <c r="AD404" s="25" t="str">
        <f aca="false">IF(OR(AC404="",N(Z404)=0),"",AC404/Z404)</f>
        <v/>
      </c>
      <c r="AE404" s="25" t="str">
        <f aca="false">IF(OR(S404="",N(Z404)=0),"",IF($B404="Short",-1,1)*(S404-H404)*G404/Z404)</f>
        <v/>
      </c>
      <c r="AF404" s="25" t="str">
        <f aca="false">IF(OR(T404="",N(Z404)=0),"",IF($B404="Short",-1,1)*(T404-H404)*G404/Z404)</f>
        <v/>
      </c>
      <c r="AG404" s="21" t="str">
        <f aca="false">IF(U404&lt;&gt;"Open","",Y404*MAX(0,IF($B404="Short",-1,1)*(H404-IF(K404="",I404,K404))))</f>
        <v/>
      </c>
      <c r="AH404" s="26" t="str">
        <f aca="false">IF(U404&lt;&gt;"Closed","",DATE(YEAR(P404),MONTH(P404),1))</f>
        <v/>
      </c>
      <c r="AI404" s="19" t="str">
        <f aca="false">IF(U404&lt;&gt;"Closed","",COUNTIFS($U$7:$U$506,"Closed",$P$7:$P$506,"&lt;"&amp;P404)+COUNTIFS($U$7:U404,"Closed",$P$7:P404,P404))</f>
        <v/>
      </c>
    </row>
    <row r="405" customFormat="false" ht="15" hidden="false" customHeight="false" outlineLevel="0" collapsed="false">
      <c r="A405" s="13"/>
      <c r="B405" s="48"/>
      <c r="C405" s="48"/>
      <c r="D405" s="48"/>
      <c r="E405" s="15"/>
      <c r="F405" s="15"/>
      <c r="G405" s="16"/>
      <c r="H405" s="17"/>
      <c r="I405" s="17"/>
      <c r="J405" s="17"/>
      <c r="K405" s="17"/>
      <c r="L405" s="16"/>
      <c r="M405" s="17"/>
      <c r="N405" s="16"/>
      <c r="O405" s="17"/>
      <c r="P405" s="15"/>
      <c r="Q405" s="17"/>
      <c r="R405" s="17"/>
      <c r="S405" s="17"/>
      <c r="T405" s="17"/>
      <c r="U405" s="18" t="str">
        <f aca="false">IF(A405="","",IF(N(G405)-N(L405)-N(N405)&lt;0,"Check shares",IF(AND(P405&lt;&gt;"",Q405&lt;&gt;""),"Closed","Open")))</f>
        <v/>
      </c>
      <c r="V405" s="19" t="str">
        <f aca="false">IF(OR(F405="",P405=""),"",NETWORKDAYS(F405,P405,Lists!$F$5:$F$40)-1)</f>
        <v/>
      </c>
      <c r="W405" s="18" t="str">
        <f aca="false">IF(V405="","",IF(V405=0,"Same day","Overnight"))</f>
        <v/>
      </c>
      <c r="X405" s="18" t="str">
        <f aca="false">IF(OR(E405="",F405=""),"",IF(AND(E405&gt;=F405,OR(P405="",E405&lt;=P405)),"Yes","No"))</f>
        <v/>
      </c>
      <c r="Y405" s="20" t="str">
        <f aca="false">IF(A405="","",N(G405)-N(L405)-N(N405))</f>
        <v/>
      </c>
      <c r="Z405" s="21" t="str">
        <f aca="false">IF(OR(G405="",H405="",I405=""),"",ABS(H405-I405)*G405)</f>
        <v/>
      </c>
      <c r="AA405" s="22" t="str">
        <f aca="false">IF(OR(J405="",N(Z405)=0),"",ABS(J405-H405)/ABS(H405-I405))</f>
        <v/>
      </c>
      <c r="AB405" s="23" t="str">
        <f aca="false">IF(U405&lt;&gt;"Closed","",(N(L405)*N(M405)+N(N405)*N(O405)+Y405*Q405)/G405)</f>
        <v/>
      </c>
      <c r="AC405" s="24" t="str">
        <f aca="false">IF(U405&lt;&gt;"Closed","",IF($B405="Short",-1,1)*((N(M405)-H405)*N(L405)+(N(O405)-H405)*N(N405)+(Q405-H405)*Y405)-N(R405))</f>
        <v/>
      </c>
      <c r="AD405" s="25" t="str">
        <f aca="false">IF(OR(AC405="",N(Z405)=0),"",AC405/Z405)</f>
        <v/>
      </c>
      <c r="AE405" s="25" t="str">
        <f aca="false">IF(OR(S405="",N(Z405)=0),"",IF($B405="Short",-1,1)*(S405-H405)*G405/Z405)</f>
        <v/>
      </c>
      <c r="AF405" s="25" t="str">
        <f aca="false">IF(OR(T405="",N(Z405)=0),"",IF($B405="Short",-1,1)*(T405-H405)*G405/Z405)</f>
        <v/>
      </c>
      <c r="AG405" s="21" t="str">
        <f aca="false">IF(U405&lt;&gt;"Open","",Y405*MAX(0,IF($B405="Short",-1,1)*(H405-IF(K405="",I405,K405))))</f>
        <v/>
      </c>
      <c r="AH405" s="26" t="str">
        <f aca="false">IF(U405&lt;&gt;"Closed","",DATE(YEAR(P405),MONTH(P405),1))</f>
        <v/>
      </c>
      <c r="AI405" s="19" t="str">
        <f aca="false">IF(U405&lt;&gt;"Closed","",COUNTIFS($U$7:$U$506,"Closed",$P$7:$P$506,"&lt;"&amp;P405)+COUNTIFS($U$7:U405,"Closed",$P$7:P405,P405))</f>
        <v/>
      </c>
    </row>
    <row r="406" customFormat="false" ht="15" hidden="false" customHeight="false" outlineLevel="0" collapsed="false">
      <c r="A406" s="13"/>
      <c r="B406" s="48"/>
      <c r="C406" s="48"/>
      <c r="D406" s="48"/>
      <c r="E406" s="15"/>
      <c r="F406" s="15"/>
      <c r="G406" s="16"/>
      <c r="H406" s="17"/>
      <c r="I406" s="17"/>
      <c r="J406" s="17"/>
      <c r="K406" s="17"/>
      <c r="L406" s="16"/>
      <c r="M406" s="17"/>
      <c r="N406" s="16"/>
      <c r="O406" s="17"/>
      <c r="P406" s="15"/>
      <c r="Q406" s="17"/>
      <c r="R406" s="17"/>
      <c r="S406" s="17"/>
      <c r="T406" s="17"/>
      <c r="U406" s="18" t="str">
        <f aca="false">IF(A406="","",IF(N(G406)-N(L406)-N(N406)&lt;0,"Check shares",IF(AND(P406&lt;&gt;"",Q406&lt;&gt;""),"Closed","Open")))</f>
        <v/>
      </c>
      <c r="V406" s="19" t="str">
        <f aca="false">IF(OR(F406="",P406=""),"",NETWORKDAYS(F406,P406,Lists!$F$5:$F$40)-1)</f>
        <v/>
      </c>
      <c r="W406" s="18" t="str">
        <f aca="false">IF(V406="","",IF(V406=0,"Same day","Overnight"))</f>
        <v/>
      </c>
      <c r="X406" s="18" t="str">
        <f aca="false">IF(OR(E406="",F406=""),"",IF(AND(E406&gt;=F406,OR(P406="",E406&lt;=P406)),"Yes","No"))</f>
        <v/>
      </c>
      <c r="Y406" s="20" t="str">
        <f aca="false">IF(A406="","",N(G406)-N(L406)-N(N406))</f>
        <v/>
      </c>
      <c r="Z406" s="21" t="str">
        <f aca="false">IF(OR(G406="",H406="",I406=""),"",ABS(H406-I406)*G406)</f>
        <v/>
      </c>
      <c r="AA406" s="22" t="str">
        <f aca="false">IF(OR(J406="",N(Z406)=0),"",ABS(J406-H406)/ABS(H406-I406))</f>
        <v/>
      </c>
      <c r="AB406" s="23" t="str">
        <f aca="false">IF(U406&lt;&gt;"Closed","",(N(L406)*N(M406)+N(N406)*N(O406)+Y406*Q406)/G406)</f>
        <v/>
      </c>
      <c r="AC406" s="24" t="str">
        <f aca="false">IF(U406&lt;&gt;"Closed","",IF($B406="Short",-1,1)*((N(M406)-H406)*N(L406)+(N(O406)-H406)*N(N406)+(Q406-H406)*Y406)-N(R406))</f>
        <v/>
      </c>
      <c r="AD406" s="25" t="str">
        <f aca="false">IF(OR(AC406="",N(Z406)=0),"",AC406/Z406)</f>
        <v/>
      </c>
      <c r="AE406" s="25" t="str">
        <f aca="false">IF(OR(S406="",N(Z406)=0),"",IF($B406="Short",-1,1)*(S406-H406)*G406/Z406)</f>
        <v/>
      </c>
      <c r="AF406" s="25" t="str">
        <f aca="false">IF(OR(T406="",N(Z406)=0),"",IF($B406="Short",-1,1)*(T406-H406)*G406/Z406)</f>
        <v/>
      </c>
      <c r="AG406" s="21" t="str">
        <f aca="false">IF(U406&lt;&gt;"Open","",Y406*MAX(0,IF($B406="Short",-1,1)*(H406-IF(K406="",I406,K406))))</f>
        <v/>
      </c>
      <c r="AH406" s="26" t="str">
        <f aca="false">IF(U406&lt;&gt;"Closed","",DATE(YEAR(P406),MONTH(P406),1))</f>
        <v/>
      </c>
      <c r="AI406" s="19" t="str">
        <f aca="false">IF(U406&lt;&gt;"Closed","",COUNTIFS($U$7:$U$506,"Closed",$P$7:$P$506,"&lt;"&amp;P406)+COUNTIFS($U$7:U406,"Closed",$P$7:P406,P406))</f>
        <v/>
      </c>
    </row>
    <row r="407" customFormat="false" ht="15" hidden="false" customHeight="false" outlineLevel="0" collapsed="false">
      <c r="A407" s="13"/>
      <c r="B407" s="48"/>
      <c r="C407" s="48"/>
      <c r="D407" s="48"/>
      <c r="E407" s="15"/>
      <c r="F407" s="15"/>
      <c r="G407" s="16"/>
      <c r="H407" s="17"/>
      <c r="I407" s="17"/>
      <c r="J407" s="17"/>
      <c r="K407" s="17"/>
      <c r="L407" s="16"/>
      <c r="M407" s="17"/>
      <c r="N407" s="16"/>
      <c r="O407" s="17"/>
      <c r="P407" s="15"/>
      <c r="Q407" s="17"/>
      <c r="R407" s="17"/>
      <c r="S407" s="17"/>
      <c r="T407" s="17"/>
      <c r="U407" s="18" t="str">
        <f aca="false">IF(A407="","",IF(N(G407)-N(L407)-N(N407)&lt;0,"Check shares",IF(AND(P407&lt;&gt;"",Q407&lt;&gt;""),"Closed","Open")))</f>
        <v/>
      </c>
      <c r="V407" s="19" t="str">
        <f aca="false">IF(OR(F407="",P407=""),"",NETWORKDAYS(F407,P407,Lists!$F$5:$F$40)-1)</f>
        <v/>
      </c>
      <c r="W407" s="18" t="str">
        <f aca="false">IF(V407="","",IF(V407=0,"Same day","Overnight"))</f>
        <v/>
      </c>
      <c r="X407" s="18" t="str">
        <f aca="false">IF(OR(E407="",F407=""),"",IF(AND(E407&gt;=F407,OR(P407="",E407&lt;=P407)),"Yes","No"))</f>
        <v/>
      </c>
      <c r="Y407" s="20" t="str">
        <f aca="false">IF(A407="","",N(G407)-N(L407)-N(N407))</f>
        <v/>
      </c>
      <c r="Z407" s="21" t="str">
        <f aca="false">IF(OR(G407="",H407="",I407=""),"",ABS(H407-I407)*G407)</f>
        <v/>
      </c>
      <c r="AA407" s="22" t="str">
        <f aca="false">IF(OR(J407="",N(Z407)=0),"",ABS(J407-H407)/ABS(H407-I407))</f>
        <v/>
      </c>
      <c r="AB407" s="23" t="str">
        <f aca="false">IF(U407&lt;&gt;"Closed","",(N(L407)*N(M407)+N(N407)*N(O407)+Y407*Q407)/G407)</f>
        <v/>
      </c>
      <c r="AC407" s="24" t="str">
        <f aca="false">IF(U407&lt;&gt;"Closed","",IF($B407="Short",-1,1)*((N(M407)-H407)*N(L407)+(N(O407)-H407)*N(N407)+(Q407-H407)*Y407)-N(R407))</f>
        <v/>
      </c>
      <c r="AD407" s="25" t="str">
        <f aca="false">IF(OR(AC407="",N(Z407)=0),"",AC407/Z407)</f>
        <v/>
      </c>
      <c r="AE407" s="25" t="str">
        <f aca="false">IF(OR(S407="",N(Z407)=0),"",IF($B407="Short",-1,1)*(S407-H407)*G407/Z407)</f>
        <v/>
      </c>
      <c r="AF407" s="25" t="str">
        <f aca="false">IF(OR(T407="",N(Z407)=0),"",IF($B407="Short",-1,1)*(T407-H407)*G407/Z407)</f>
        <v/>
      </c>
      <c r="AG407" s="21" t="str">
        <f aca="false">IF(U407&lt;&gt;"Open","",Y407*MAX(0,IF($B407="Short",-1,1)*(H407-IF(K407="",I407,K407))))</f>
        <v/>
      </c>
      <c r="AH407" s="26" t="str">
        <f aca="false">IF(U407&lt;&gt;"Closed","",DATE(YEAR(P407),MONTH(P407),1))</f>
        <v/>
      </c>
      <c r="AI407" s="19" t="str">
        <f aca="false">IF(U407&lt;&gt;"Closed","",COUNTIFS($U$7:$U$506,"Closed",$P$7:$P$506,"&lt;"&amp;P407)+COUNTIFS($U$7:U407,"Closed",$P$7:P407,P407))</f>
        <v/>
      </c>
    </row>
    <row r="408" customFormat="false" ht="15" hidden="false" customHeight="false" outlineLevel="0" collapsed="false">
      <c r="A408" s="13"/>
      <c r="B408" s="48"/>
      <c r="C408" s="48"/>
      <c r="D408" s="48"/>
      <c r="E408" s="15"/>
      <c r="F408" s="15"/>
      <c r="G408" s="16"/>
      <c r="H408" s="17"/>
      <c r="I408" s="17"/>
      <c r="J408" s="17"/>
      <c r="K408" s="17"/>
      <c r="L408" s="16"/>
      <c r="M408" s="17"/>
      <c r="N408" s="16"/>
      <c r="O408" s="17"/>
      <c r="P408" s="15"/>
      <c r="Q408" s="17"/>
      <c r="R408" s="17"/>
      <c r="S408" s="17"/>
      <c r="T408" s="17"/>
      <c r="U408" s="18" t="str">
        <f aca="false">IF(A408="","",IF(N(G408)-N(L408)-N(N408)&lt;0,"Check shares",IF(AND(P408&lt;&gt;"",Q408&lt;&gt;""),"Closed","Open")))</f>
        <v/>
      </c>
      <c r="V408" s="19" t="str">
        <f aca="false">IF(OR(F408="",P408=""),"",NETWORKDAYS(F408,P408,Lists!$F$5:$F$40)-1)</f>
        <v/>
      </c>
      <c r="W408" s="18" t="str">
        <f aca="false">IF(V408="","",IF(V408=0,"Same day","Overnight"))</f>
        <v/>
      </c>
      <c r="X408" s="18" t="str">
        <f aca="false">IF(OR(E408="",F408=""),"",IF(AND(E408&gt;=F408,OR(P408="",E408&lt;=P408)),"Yes","No"))</f>
        <v/>
      </c>
      <c r="Y408" s="20" t="str">
        <f aca="false">IF(A408="","",N(G408)-N(L408)-N(N408))</f>
        <v/>
      </c>
      <c r="Z408" s="21" t="str">
        <f aca="false">IF(OR(G408="",H408="",I408=""),"",ABS(H408-I408)*G408)</f>
        <v/>
      </c>
      <c r="AA408" s="22" t="str">
        <f aca="false">IF(OR(J408="",N(Z408)=0),"",ABS(J408-H408)/ABS(H408-I408))</f>
        <v/>
      </c>
      <c r="AB408" s="23" t="str">
        <f aca="false">IF(U408&lt;&gt;"Closed","",(N(L408)*N(M408)+N(N408)*N(O408)+Y408*Q408)/G408)</f>
        <v/>
      </c>
      <c r="AC408" s="24" t="str">
        <f aca="false">IF(U408&lt;&gt;"Closed","",IF($B408="Short",-1,1)*((N(M408)-H408)*N(L408)+(N(O408)-H408)*N(N408)+(Q408-H408)*Y408)-N(R408))</f>
        <v/>
      </c>
      <c r="AD408" s="25" t="str">
        <f aca="false">IF(OR(AC408="",N(Z408)=0),"",AC408/Z408)</f>
        <v/>
      </c>
      <c r="AE408" s="25" t="str">
        <f aca="false">IF(OR(S408="",N(Z408)=0),"",IF($B408="Short",-1,1)*(S408-H408)*G408/Z408)</f>
        <v/>
      </c>
      <c r="AF408" s="25" t="str">
        <f aca="false">IF(OR(T408="",N(Z408)=0),"",IF($B408="Short",-1,1)*(T408-H408)*G408/Z408)</f>
        <v/>
      </c>
      <c r="AG408" s="21" t="str">
        <f aca="false">IF(U408&lt;&gt;"Open","",Y408*MAX(0,IF($B408="Short",-1,1)*(H408-IF(K408="",I408,K408))))</f>
        <v/>
      </c>
      <c r="AH408" s="26" t="str">
        <f aca="false">IF(U408&lt;&gt;"Closed","",DATE(YEAR(P408),MONTH(P408),1))</f>
        <v/>
      </c>
      <c r="AI408" s="19" t="str">
        <f aca="false">IF(U408&lt;&gt;"Closed","",COUNTIFS($U$7:$U$506,"Closed",$P$7:$P$506,"&lt;"&amp;P408)+COUNTIFS($U$7:U408,"Closed",$P$7:P408,P408))</f>
        <v/>
      </c>
    </row>
    <row r="409" customFormat="false" ht="15" hidden="false" customHeight="false" outlineLevel="0" collapsed="false">
      <c r="A409" s="13"/>
      <c r="B409" s="48"/>
      <c r="C409" s="48"/>
      <c r="D409" s="48"/>
      <c r="E409" s="15"/>
      <c r="F409" s="15"/>
      <c r="G409" s="16"/>
      <c r="H409" s="17"/>
      <c r="I409" s="17"/>
      <c r="J409" s="17"/>
      <c r="K409" s="17"/>
      <c r="L409" s="16"/>
      <c r="M409" s="17"/>
      <c r="N409" s="16"/>
      <c r="O409" s="17"/>
      <c r="P409" s="15"/>
      <c r="Q409" s="17"/>
      <c r="R409" s="17"/>
      <c r="S409" s="17"/>
      <c r="T409" s="17"/>
      <c r="U409" s="18" t="str">
        <f aca="false">IF(A409="","",IF(N(G409)-N(L409)-N(N409)&lt;0,"Check shares",IF(AND(P409&lt;&gt;"",Q409&lt;&gt;""),"Closed","Open")))</f>
        <v/>
      </c>
      <c r="V409" s="19" t="str">
        <f aca="false">IF(OR(F409="",P409=""),"",NETWORKDAYS(F409,P409,Lists!$F$5:$F$40)-1)</f>
        <v/>
      </c>
      <c r="W409" s="18" t="str">
        <f aca="false">IF(V409="","",IF(V409=0,"Same day","Overnight"))</f>
        <v/>
      </c>
      <c r="X409" s="18" t="str">
        <f aca="false">IF(OR(E409="",F409=""),"",IF(AND(E409&gt;=F409,OR(P409="",E409&lt;=P409)),"Yes","No"))</f>
        <v/>
      </c>
      <c r="Y409" s="20" t="str">
        <f aca="false">IF(A409="","",N(G409)-N(L409)-N(N409))</f>
        <v/>
      </c>
      <c r="Z409" s="21" t="str">
        <f aca="false">IF(OR(G409="",H409="",I409=""),"",ABS(H409-I409)*G409)</f>
        <v/>
      </c>
      <c r="AA409" s="22" t="str">
        <f aca="false">IF(OR(J409="",N(Z409)=0),"",ABS(J409-H409)/ABS(H409-I409))</f>
        <v/>
      </c>
      <c r="AB409" s="23" t="str">
        <f aca="false">IF(U409&lt;&gt;"Closed","",(N(L409)*N(M409)+N(N409)*N(O409)+Y409*Q409)/G409)</f>
        <v/>
      </c>
      <c r="AC409" s="24" t="str">
        <f aca="false">IF(U409&lt;&gt;"Closed","",IF($B409="Short",-1,1)*((N(M409)-H409)*N(L409)+(N(O409)-H409)*N(N409)+(Q409-H409)*Y409)-N(R409))</f>
        <v/>
      </c>
      <c r="AD409" s="25" t="str">
        <f aca="false">IF(OR(AC409="",N(Z409)=0),"",AC409/Z409)</f>
        <v/>
      </c>
      <c r="AE409" s="25" t="str">
        <f aca="false">IF(OR(S409="",N(Z409)=0),"",IF($B409="Short",-1,1)*(S409-H409)*G409/Z409)</f>
        <v/>
      </c>
      <c r="AF409" s="25" t="str">
        <f aca="false">IF(OR(T409="",N(Z409)=0),"",IF($B409="Short",-1,1)*(T409-H409)*G409/Z409)</f>
        <v/>
      </c>
      <c r="AG409" s="21" t="str">
        <f aca="false">IF(U409&lt;&gt;"Open","",Y409*MAX(0,IF($B409="Short",-1,1)*(H409-IF(K409="",I409,K409))))</f>
        <v/>
      </c>
      <c r="AH409" s="26" t="str">
        <f aca="false">IF(U409&lt;&gt;"Closed","",DATE(YEAR(P409),MONTH(P409),1))</f>
        <v/>
      </c>
      <c r="AI409" s="19" t="str">
        <f aca="false">IF(U409&lt;&gt;"Closed","",COUNTIFS($U$7:$U$506,"Closed",$P$7:$P$506,"&lt;"&amp;P409)+COUNTIFS($U$7:U409,"Closed",$P$7:P409,P409))</f>
        <v/>
      </c>
    </row>
    <row r="410" customFormat="false" ht="15" hidden="false" customHeight="false" outlineLevel="0" collapsed="false">
      <c r="A410" s="13"/>
      <c r="B410" s="48"/>
      <c r="C410" s="48"/>
      <c r="D410" s="48"/>
      <c r="E410" s="15"/>
      <c r="F410" s="15"/>
      <c r="G410" s="16"/>
      <c r="H410" s="17"/>
      <c r="I410" s="17"/>
      <c r="J410" s="17"/>
      <c r="K410" s="17"/>
      <c r="L410" s="16"/>
      <c r="M410" s="17"/>
      <c r="N410" s="16"/>
      <c r="O410" s="17"/>
      <c r="P410" s="15"/>
      <c r="Q410" s="17"/>
      <c r="R410" s="17"/>
      <c r="S410" s="17"/>
      <c r="T410" s="17"/>
      <c r="U410" s="18" t="str">
        <f aca="false">IF(A410="","",IF(N(G410)-N(L410)-N(N410)&lt;0,"Check shares",IF(AND(P410&lt;&gt;"",Q410&lt;&gt;""),"Closed","Open")))</f>
        <v/>
      </c>
      <c r="V410" s="19" t="str">
        <f aca="false">IF(OR(F410="",P410=""),"",NETWORKDAYS(F410,P410,Lists!$F$5:$F$40)-1)</f>
        <v/>
      </c>
      <c r="W410" s="18" t="str">
        <f aca="false">IF(V410="","",IF(V410=0,"Same day","Overnight"))</f>
        <v/>
      </c>
      <c r="X410" s="18" t="str">
        <f aca="false">IF(OR(E410="",F410=""),"",IF(AND(E410&gt;=F410,OR(P410="",E410&lt;=P410)),"Yes","No"))</f>
        <v/>
      </c>
      <c r="Y410" s="20" t="str">
        <f aca="false">IF(A410="","",N(G410)-N(L410)-N(N410))</f>
        <v/>
      </c>
      <c r="Z410" s="21" t="str">
        <f aca="false">IF(OR(G410="",H410="",I410=""),"",ABS(H410-I410)*G410)</f>
        <v/>
      </c>
      <c r="AA410" s="22" t="str">
        <f aca="false">IF(OR(J410="",N(Z410)=0),"",ABS(J410-H410)/ABS(H410-I410))</f>
        <v/>
      </c>
      <c r="AB410" s="23" t="str">
        <f aca="false">IF(U410&lt;&gt;"Closed","",(N(L410)*N(M410)+N(N410)*N(O410)+Y410*Q410)/G410)</f>
        <v/>
      </c>
      <c r="AC410" s="24" t="str">
        <f aca="false">IF(U410&lt;&gt;"Closed","",IF($B410="Short",-1,1)*((N(M410)-H410)*N(L410)+(N(O410)-H410)*N(N410)+(Q410-H410)*Y410)-N(R410))</f>
        <v/>
      </c>
      <c r="AD410" s="25" t="str">
        <f aca="false">IF(OR(AC410="",N(Z410)=0),"",AC410/Z410)</f>
        <v/>
      </c>
      <c r="AE410" s="25" t="str">
        <f aca="false">IF(OR(S410="",N(Z410)=0),"",IF($B410="Short",-1,1)*(S410-H410)*G410/Z410)</f>
        <v/>
      </c>
      <c r="AF410" s="25" t="str">
        <f aca="false">IF(OR(T410="",N(Z410)=0),"",IF($B410="Short",-1,1)*(T410-H410)*G410/Z410)</f>
        <v/>
      </c>
      <c r="AG410" s="21" t="str">
        <f aca="false">IF(U410&lt;&gt;"Open","",Y410*MAX(0,IF($B410="Short",-1,1)*(H410-IF(K410="",I410,K410))))</f>
        <v/>
      </c>
      <c r="AH410" s="26" t="str">
        <f aca="false">IF(U410&lt;&gt;"Closed","",DATE(YEAR(P410),MONTH(P410),1))</f>
        <v/>
      </c>
      <c r="AI410" s="19" t="str">
        <f aca="false">IF(U410&lt;&gt;"Closed","",COUNTIFS($U$7:$U$506,"Closed",$P$7:$P$506,"&lt;"&amp;P410)+COUNTIFS($U$7:U410,"Closed",$P$7:P410,P410))</f>
        <v/>
      </c>
    </row>
    <row r="411" customFormat="false" ht="15" hidden="false" customHeight="false" outlineLevel="0" collapsed="false">
      <c r="A411" s="13"/>
      <c r="B411" s="48"/>
      <c r="C411" s="48"/>
      <c r="D411" s="48"/>
      <c r="E411" s="15"/>
      <c r="F411" s="15"/>
      <c r="G411" s="16"/>
      <c r="H411" s="17"/>
      <c r="I411" s="17"/>
      <c r="J411" s="17"/>
      <c r="K411" s="17"/>
      <c r="L411" s="16"/>
      <c r="M411" s="17"/>
      <c r="N411" s="16"/>
      <c r="O411" s="17"/>
      <c r="P411" s="15"/>
      <c r="Q411" s="17"/>
      <c r="R411" s="17"/>
      <c r="S411" s="17"/>
      <c r="T411" s="17"/>
      <c r="U411" s="18" t="str">
        <f aca="false">IF(A411="","",IF(N(G411)-N(L411)-N(N411)&lt;0,"Check shares",IF(AND(P411&lt;&gt;"",Q411&lt;&gt;""),"Closed","Open")))</f>
        <v/>
      </c>
      <c r="V411" s="19" t="str">
        <f aca="false">IF(OR(F411="",P411=""),"",NETWORKDAYS(F411,P411,Lists!$F$5:$F$40)-1)</f>
        <v/>
      </c>
      <c r="W411" s="18" t="str">
        <f aca="false">IF(V411="","",IF(V411=0,"Same day","Overnight"))</f>
        <v/>
      </c>
      <c r="X411" s="18" t="str">
        <f aca="false">IF(OR(E411="",F411=""),"",IF(AND(E411&gt;=F411,OR(P411="",E411&lt;=P411)),"Yes","No"))</f>
        <v/>
      </c>
      <c r="Y411" s="20" t="str">
        <f aca="false">IF(A411="","",N(G411)-N(L411)-N(N411))</f>
        <v/>
      </c>
      <c r="Z411" s="21" t="str">
        <f aca="false">IF(OR(G411="",H411="",I411=""),"",ABS(H411-I411)*G411)</f>
        <v/>
      </c>
      <c r="AA411" s="22" t="str">
        <f aca="false">IF(OR(J411="",N(Z411)=0),"",ABS(J411-H411)/ABS(H411-I411))</f>
        <v/>
      </c>
      <c r="AB411" s="23" t="str">
        <f aca="false">IF(U411&lt;&gt;"Closed","",(N(L411)*N(M411)+N(N411)*N(O411)+Y411*Q411)/G411)</f>
        <v/>
      </c>
      <c r="AC411" s="24" t="str">
        <f aca="false">IF(U411&lt;&gt;"Closed","",IF($B411="Short",-1,1)*((N(M411)-H411)*N(L411)+(N(O411)-H411)*N(N411)+(Q411-H411)*Y411)-N(R411))</f>
        <v/>
      </c>
      <c r="AD411" s="25" t="str">
        <f aca="false">IF(OR(AC411="",N(Z411)=0),"",AC411/Z411)</f>
        <v/>
      </c>
      <c r="AE411" s="25" t="str">
        <f aca="false">IF(OR(S411="",N(Z411)=0),"",IF($B411="Short",-1,1)*(S411-H411)*G411/Z411)</f>
        <v/>
      </c>
      <c r="AF411" s="25" t="str">
        <f aca="false">IF(OR(T411="",N(Z411)=0),"",IF($B411="Short",-1,1)*(T411-H411)*G411/Z411)</f>
        <v/>
      </c>
      <c r="AG411" s="21" t="str">
        <f aca="false">IF(U411&lt;&gt;"Open","",Y411*MAX(0,IF($B411="Short",-1,1)*(H411-IF(K411="",I411,K411))))</f>
        <v/>
      </c>
      <c r="AH411" s="26" t="str">
        <f aca="false">IF(U411&lt;&gt;"Closed","",DATE(YEAR(P411),MONTH(P411),1))</f>
        <v/>
      </c>
      <c r="AI411" s="19" t="str">
        <f aca="false">IF(U411&lt;&gt;"Closed","",COUNTIFS($U$7:$U$506,"Closed",$P$7:$P$506,"&lt;"&amp;P411)+COUNTIFS($U$7:U411,"Closed",$P$7:P411,P411))</f>
        <v/>
      </c>
    </row>
    <row r="412" customFormat="false" ht="15" hidden="false" customHeight="false" outlineLevel="0" collapsed="false">
      <c r="A412" s="13"/>
      <c r="B412" s="48"/>
      <c r="C412" s="48"/>
      <c r="D412" s="48"/>
      <c r="E412" s="15"/>
      <c r="F412" s="15"/>
      <c r="G412" s="16"/>
      <c r="H412" s="17"/>
      <c r="I412" s="17"/>
      <c r="J412" s="17"/>
      <c r="K412" s="17"/>
      <c r="L412" s="16"/>
      <c r="M412" s="17"/>
      <c r="N412" s="16"/>
      <c r="O412" s="17"/>
      <c r="P412" s="15"/>
      <c r="Q412" s="17"/>
      <c r="R412" s="17"/>
      <c r="S412" s="17"/>
      <c r="T412" s="17"/>
      <c r="U412" s="18" t="str">
        <f aca="false">IF(A412="","",IF(N(G412)-N(L412)-N(N412)&lt;0,"Check shares",IF(AND(P412&lt;&gt;"",Q412&lt;&gt;""),"Closed","Open")))</f>
        <v/>
      </c>
      <c r="V412" s="19" t="str">
        <f aca="false">IF(OR(F412="",P412=""),"",NETWORKDAYS(F412,P412,Lists!$F$5:$F$40)-1)</f>
        <v/>
      </c>
      <c r="W412" s="18" t="str">
        <f aca="false">IF(V412="","",IF(V412=0,"Same day","Overnight"))</f>
        <v/>
      </c>
      <c r="X412" s="18" t="str">
        <f aca="false">IF(OR(E412="",F412=""),"",IF(AND(E412&gt;=F412,OR(P412="",E412&lt;=P412)),"Yes","No"))</f>
        <v/>
      </c>
      <c r="Y412" s="20" t="str">
        <f aca="false">IF(A412="","",N(G412)-N(L412)-N(N412))</f>
        <v/>
      </c>
      <c r="Z412" s="21" t="str">
        <f aca="false">IF(OR(G412="",H412="",I412=""),"",ABS(H412-I412)*G412)</f>
        <v/>
      </c>
      <c r="AA412" s="22" t="str">
        <f aca="false">IF(OR(J412="",N(Z412)=0),"",ABS(J412-H412)/ABS(H412-I412))</f>
        <v/>
      </c>
      <c r="AB412" s="23" t="str">
        <f aca="false">IF(U412&lt;&gt;"Closed","",(N(L412)*N(M412)+N(N412)*N(O412)+Y412*Q412)/G412)</f>
        <v/>
      </c>
      <c r="AC412" s="24" t="str">
        <f aca="false">IF(U412&lt;&gt;"Closed","",IF($B412="Short",-1,1)*((N(M412)-H412)*N(L412)+(N(O412)-H412)*N(N412)+(Q412-H412)*Y412)-N(R412))</f>
        <v/>
      </c>
      <c r="AD412" s="25" t="str">
        <f aca="false">IF(OR(AC412="",N(Z412)=0),"",AC412/Z412)</f>
        <v/>
      </c>
      <c r="AE412" s="25" t="str">
        <f aca="false">IF(OR(S412="",N(Z412)=0),"",IF($B412="Short",-1,1)*(S412-H412)*G412/Z412)</f>
        <v/>
      </c>
      <c r="AF412" s="25" t="str">
        <f aca="false">IF(OR(T412="",N(Z412)=0),"",IF($B412="Short",-1,1)*(T412-H412)*G412/Z412)</f>
        <v/>
      </c>
      <c r="AG412" s="21" t="str">
        <f aca="false">IF(U412&lt;&gt;"Open","",Y412*MAX(0,IF($B412="Short",-1,1)*(H412-IF(K412="",I412,K412))))</f>
        <v/>
      </c>
      <c r="AH412" s="26" t="str">
        <f aca="false">IF(U412&lt;&gt;"Closed","",DATE(YEAR(P412),MONTH(P412),1))</f>
        <v/>
      </c>
      <c r="AI412" s="19" t="str">
        <f aca="false">IF(U412&lt;&gt;"Closed","",COUNTIFS($U$7:$U$506,"Closed",$P$7:$P$506,"&lt;"&amp;P412)+COUNTIFS($U$7:U412,"Closed",$P$7:P412,P412))</f>
        <v/>
      </c>
    </row>
    <row r="413" customFormat="false" ht="15" hidden="false" customHeight="false" outlineLevel="0" collapsed="false">
      <c r="A413" s="13"/>
      <c r="B413" s="48"/>
      <c r="C413" s="48"/>
      <c r="D413" s="48"/>
      <c r="E413" s="15"/>
      <c r="F413" s="15"/>
      <c r="G413" s="16"/>
      <c r="H413" s="17"/>
      <c r="I413" s="17"/>
      <c r="J413" s="17"/>
      <c r="K413" s="17"/>
      <c r="L413" s="16"/>
      <c r="M413" s="17"/>
      <c r="N413" s="16"/>
      <c r="O413" s="17"/>
      <c r="P413" s="15"/>
      <c r="Q413" s="17"/>
      <c r="R413" s="17"/>
      <c r="S413" s="17"/>
      <c r="T413" s="17"/>
      <c r="U413" s="18" t="str">
        <f aca="false">IF(A413="","",IF(N(G413)-N(L413)-N(N413)&lt;0,"Check shares",IF(AND(P413&lt;&gt;"",Q413&lt;&gt;""),"Closed","Open")))</f>
        <v/>
      </c>
      <c r="V413" s="19" t="str">
        <f aca="false">IF(OR(F413="",P413=""),"",NETWORKDAYS(F413,P413,Lists!$F$5:$F$40)-1)</f>
        <v/>
      </c>
      <c r="W413" s="18" t="str">
        <f aca="false">IF(V413="","",IF(V413=0,"Same day","Overnight"))</f>
        <v/>
      </c>
      <c r="X413" s="18" t="str">
        <f aca="false">IF(OR(E413="",F413=""),"",IF(AND(E413&gt;=F413,OR(P413="",E413&lt;=P413)),"Yes","No"))</f>
        <v/>
      </c>
      <c r="Y413" s="20" t="str">
        <f aca="false">IF(A413="","",N(G413)-N(L413)-N(N413))</f>
        <v/>
      </c>
      <c r="Z413" s="21" t="str">
        <f aca="false">IF(OR(G413="",H413="",I413=""),"",ABS(H413-I413)*G413)</f>
        <v/>
      </c>
      <c r="AA413" s="22" t="str">
        <f aca="false">IF(OR(J413="",N(Z413)=0),"",ABS(J413-H413)/ABS(H413-I413))</f>
        <v/>
      </c>
      <c r="AB413" s="23" t="str">
        <f aca="false">IF(U413&lt;&gt;"Closed","",(N(L413)*N(M413)+N(N413)*N(O413)+Y413*Q413)/G413)</f>
        <v/>
      </c>
      <c r="AC413" s="24" t="str">
        <f aca="false">IF(U413&lt;&gt;"Closed","",IF($B413="Short",-1,1)*((N(M413)-H413)*N(L413)+(N(O413)-H413)*N(N413)+(Q413-H413)*Y413)-N(R413))</f>
        <v/>
      </c>
      <c r="AD413" s="25" t="str">
        <f aca="false">IF(OR(AC413="",N(Z413)=0),"",AC413/Z413)</f>
        <v/>
      </c>
      <c r="AE413" s="25" t="str">
        <f aca="false">IF(OR(S413="",N(Z413)=0),"",IF($B413="Short",-1,1)*(S413-H413)*G413/Z413)</f>
        <v/>
      </c>
      <c r="AF413" s="25" t="str">
        <f aca="false">IF(OR(T413="",N(Z413)=0),"",IF($B413="Short",-1,1)*(T413-H413)*G413/Z413)</f>
        <v/>
      </c>
      <c r="AG413" s="21" t="str">
        <f aca="false">IF(U413&lt;&gt;"Open","",Y413*MAX(0,IF($B413="Short",-1,1)*(H413-IF(K413="",I413,K413))))</f>
        <v/>
      </c>
      <c r="AH413" s="26" t="str">
        <f aca="false">IF(U413&lt;&gt;"Closed","",DATE(YEAR(P413),MONTH(P413),1))</f>
        <v/>
      </c>
      <c r="AI413" s="19" t="str">
        <f aca="false">IF(U413&lt;&gt;"Closed","",COUNTIFS($U$7:$U$506,"Closed",$P$7:$P$506,"&lt;"&amp;P413)+COUNTIFS($U$7:U413,"Closed",$P$7:P413,P413))</f>
        <v/>
      </c>
    </row>
    <row r="414" customFormat="false" ht="15" hidden="false" customHeight="false" outlineLevel="0" collapsed="false">
      <c r="A414" s="13"/>
      <c r="B414" s="48"/>
      <c r="C414" s="48"/>
      <c r="D414" s="48"/>
      <c r="E414" s="15"/>
      <c r="F414" s="15"/>
      <c r="G414" s="16"/>
      <c r="H414" s="17"/>
      <c r="I414" s="17"/>
      <c r="J414" s="17"/>
      <c r="K414" s="17"/>
      <c r="L414" s="16"/>
      <c r="M414" s="17"/>
      <c r="N414" s="16"/>
      <c r="O414" s="17"/>
      <c r="P414" s="15"/>
      <c r="Q414" s="17"/>
      <c r="R414" s="17"/>
      <c r="S414" s="17"/>
      <c r="T414" s="17"/>
      <c r="U414" s="18" t="str">
        <f aca="false">IF(A414="","",IF(N(G414)-N(L414)-N(N414)&lt;0,"Check shares",IF(AND(P414&lt;&gt;"",Q414&lt;&gt;""),"Closed","Open")))</f>
        <v/>
      </c>
      <c r="V414" s="19" t="str">
        <f aca="false">IF(OR(F414="",P414=""),"",NETWORKDAYS(F414,P414,Lists!$F$5:$F$40)-1)</f>
        <v/>
      </c>
      <c r="W414" s="18" t="str">
        <f aca="false">IF(V414="","",IF(V414=0,"Same day","Overnight"))</f>
        <v/>
      </c>
      <c r="X414" s="18" t="str">
        <f aca="false">IF(OR(E414="",F414=""),"",IF(AND(E414&gt;=F414,OR(P414="",E414&lt;=P414)),"Yes","No"))</f>
        <v/>
      </c>
      <c r="Y414" s="20" t="str">
        <f aca="false">IF(A414="","",N(G414)-N(L414)-N(N414))</f>
        <v/>
      </c>
      <c r="Z414" s="21" t="str">
        <f aca="false">IF(OR(G414="",H414="",I414=""),"",ABS(H414-I414)*G414)</f>
        <v/>
      </c>
      <c r="AA414" s="22" t="str">
        <f aca="false">IF(OR(J414="",N(Z414)=0),"",ABS(J414-H414)/ABS(H414-I414))</f>
        <v/>
      </c>
      <c r="AB414" s="23" t="str">
        <f aca="false">IF(U414&lt;&gt;"Closed","",(N(L414)*N(M414)+N(N414)*N(O414)+Y414*Q414)/G414)</f>
        <v/>
      </c>
      <c r="AC414" s="24" t="str">
        <f aca="false">IF(U414&lt;&gt;"Closed","",IF($B414="Short",-1,1)*((N(M414)-H414)*N(L414)+(N(O414)-H414)*N(N414)+(Q414-H414)*Y414)-N(R414))</f>
        <v/>
      </c>
      <c r="AD414" s="25" t="str">
        <f aca="false">IF(OR(AC414="",N(Z414)=0),"",AC414/Z414)</f>
        <v/>
      </c>
      <c r="AE414" s="25" t="str">
        <f aca="false">IF(OR(S414="",N(Z414)=0),"",IF($B414="Short",-1,1)*(S414-H414)*G414/Z414)</f>
        <v/>
      </c>
      <c r="AF414" s="25" t="str">
        <f aca="false">IF(OR(T414="",N(Z414)=0),"",IF($B414="Short",-1,1)*(T414-H414)*G414/Z414)</f>
        <v/>
      </c>
      <c r="AG414" s="21" t="str">
        <f aca="false">IF(U414&lt;&gt;"Open","",Y414*MAX(0,IF($B414="Short",-1,1)*(H414-IF(K414="",I414,K414))))</f>
        <v/>
      </c>
      <c r="AH414" s="26" t="str">
        <f aca="false">IF(U414&lt;&gt;"Closed","",DATE(YEAR(P414),MONTH(P414),1))</f>
        <v/>
      </c>
      <c r="AI414" s="19" t="str">
        <f aca="false">IF(U414&lt;&gt;"Closed","",COUNTIFS($U$7:$U$506,"Closed",$P$7:$P$506,"&lt;"&amp;P414)+COUNTIFS($U$7:U414,"Closed",$P$7:P414,P414))</f>
        <v/>
      </c>
    </row>
    <row r="415" customFormat="false" ht="15" hidden="false" customHeight="false" outlineLevel="0" collapsed="false">
      <c r="A415" s="13"/>
      <c r="B415" s="48"/>
      <c r="C415" s="48"/>
      <c r="D415" s="48"/>
      <c r="E415" s="15"/>
      <c r="F415" s="15"/>
      <c r="G415" s="16"/>
      <c r="H415" s="17"/>
      <c r="I415" s="17"/>
      <c r="J415" s="17"/>
      <c r="K415" s="17"/>
      <c r="L415" s="16"/>
      <c r="M415" s="17"/>
      <c r="N415" s="16"/>
      <c r="O415" s="17"/>
      <c r="P415" s="15"/>
      <c r="Q415" s="17"/>
      <c r="R415" s="17"/>
      <c r="S415" s="17"/>
      <c r="T415" s="17"/>
      <c r="U415" s="18" t="str">
        <f aca="false">IF(A415="","",IF(N(G415)-N(L415)-N(N415)&lt;0,"Check shares",IF(AND(P415&lt;&gt;"",Q415&lt;&gt;""),"Closed","Open")))</f>
        <v/>
      </c>
      <c r="V415" s="19" t="str">
        <f aca="false">IF(OR(F415="",P415=""),"",NETWORKDAYS(F415,P415,Lists!$F$5:$F$40)-1)</f>
        <v/>
      </c>
      <c r="W415" s="18" t="str">
        <f aca="false">IF(V415="","",IF(V415=0,"Same day","Overnight"))</f>
        <v/>
      </c>
      <c r="X415" s="18" t="str">
        <f aca="false">IF(OR(E415="",F415=""),"",IF(AND(E415&gt;=F415,OR(P415="",E415&lt;=P415)),"Yes","No"))</f>
        <v/>
      </c>
      <c r="Y415" s="20" t="str">
        <f aca="false">IF(A415="","",N(G415)-N(L415)-N(N415))</f>
        <v/>
      </c>
      <c r="Z415" s="21" t="str">
        <f aca="false">IF(OR(G415="",H415="",I415=""),"",ABS(H415-I415)*G415)</f>
        <v/>
      </c>
      <c r="AA415" s="22" t="str">
        <f aca="false">IF(OR(J415="",N(Z415)=0),"",ABS(J415-H415)/ABS(H415-I415))</f>
        <v/>
      </c>
      <c r="AB415" s="23" t="str">
        <f aca="false">IF(U415&lt;&gt;"Closed","",(N(L415)*N(M415)+N(N415)*N(O415)+Y415*Q415)/G415)</f>
        <v/>
      </c>
      <c r="AC415" s="24" t="str">
        <f aca="false">IF(U415&lt;&gt;"Closed","",IF($B415="Short",-1,1)*((N(M415)-H415)*N(L415)+(N(O415)-H415)*N(N415)+(Q415-H415)*Y415)-N(R415))</f>
        <v/>
      </c>
      <c r="AD415" s="25" t="str">
        <f aca="false">IF(OR(AC415="",N(Z415)=0),"",AC415/Z415)</f>
        <v/>
      </c>
      <c r="AE415" s="25" t="str">
        <f aca="false">IF(OR(S415="",N(Z415)=0),"",IF($B415="Short",-1,1)*(S415-H415)*G415/Z415)</f>
        <v/>
      </c>
      <c r="AF415" s="25" t="str">
        <f aca="false">IF(OR(T415="",N(Z415)=0),"",IF($B415="Short",-1,1)*(T415-H415)*G415/Z415)</f>
        <v/>
      </c>
      <c r="AG415" s="21" t="str">
        <f aca="false">IF(U415&lt;&gt;"Open","",Y415*MAX(0,IF($B415="Short",-1,1)*(H415-IF(K415="",I415,K415))))</f>
        <v/>
      </c>
      <c r="AH415" s="26" t="str">
        <f aca="false">IF(U415&lt;&gt;"Closed","",DATE(YEAR(P415),MONTH(P415),1))</f>
        <v/>
      </c>
      <c r="AI415" s="19" t="str">
        <f aca="false">IF(U415&lt;&gt;"Closed","",COUNTIFS($U$7:$U$506,"Closed",$P$7:$P$506,"&lt;"&amp;P415)+COUNTIFS($U$7:U415,"Closed",$P$7:P415,P415))</f>
        <v/>
      </c>
    </row>
    <row r="416" customFormat="false" ht="15" hidden="false" customHeight="false" outlineLevel="0" collapsed="false">
      <c r="A416" s="13"/>
      <c r="B416" s="48"/>
      <c r="C416" s="48"/>
      <c r="D416" s="48"/>
      <c r="E416" s="15"/>
      <c r="F416" s="15"/>
      <c r="G416" s="16"/>
      <c r="H416" s="17"/>
      <c r="I416" s="17"/>
      <c r="J416" s="17"/>
      <c r="K416" s="17"/>
      <c r="L416" s="16"/>
      <c r="M416" s="17"/>
      <c r="N416" s="16"/>
      <c r="O416" s="17"/>
      <c r="P416" s="15"/>
      <c r="Q416" s="17"/>
      <c r="R416" s="17"/>
      <c r="S416" s="17"/>
      <c r="T416" s="17"/>
      <c r="U416" s="18" t="str">
        <f aca="false">IF(A416="","",IF(N(G416)-N(L416)-N(N416)&lt;0,"Check shares",IF(AND(P416&lt;&gt;"",Q416&lt;&gt;""),"Closed","Open")))</f>
        <v/>
      </c>
      <c r="V416" s="19" t="str">
        <f aca="false">IF(OR(F416="",P416=""),"",NETWORKDAYS(F416,P416,Lists!$F$5:$F$40)-1)</f>
        <v/>
      </c>
      <c r="W416" s="18" t="str">
        <f aca="false">IF(V416="","",IF(V416=0,"Same day","Overnight"))</f>
        <v/>
      </c>
      <c r="X416" s="18" t="str">
        <f aca="false">IF(OR(E416="",F416=""),"",IF(AND(E416&gt;=F416,OR(P416="",E416&lt;=P416)),"Yes","No"))</f>
        <v/>
      </c>
      <c r="Y416" s="20" t="str">
        <f aca="false">IF(A416="","",N(G416)-N(L416)-N(N416))</f>
        <v/>
      </c>
      <c r="Z416" s="21" t="str">
        <f aca="false">IF(OR(G416="",H416="",I416=""),"",ABS(H416-I416)*G416)</f>
        <v/>
      </c>
      <c r="AA416" s="22" t="str">
        <f aca="false">IF(OR(J416="",N(Z416)=0),"",ABS(J416-H416)/ABS(H416-I416))</f>
        <v/>
      </c>
      <c r="AB416" s="23" t="str">
        <f aca="false">IF(U416&lt;&gt;"Closed","",(N(L416)*N(M416)+N(N416)*N(O416)+Y416*Q416)/G416)</f>
        <v/>
      </c>
      <c r="AC416" s="24" t="str">
        <f aca="false">IF(U416&lt;&gt;"Closed","",IF($B416="Short",-1,1)*((N(M416)-H416)*N(L416)+(N(O416)-H416)*N(N416)+(Q416-H416)*Y416)-N(R416))</f>
        <v/>
      </c>
      <c r="AD416" s="25" t="str">
        <f aca="false">IF(OR(AC416="",N(Z416)=0),"",AC416/Z416)</f>
        <v/>
      </c>
      <c r="AE416" s="25" t="str">
        <f aca="false">IF(OR(S416="",N(Z416)=0),"",IF($B416="Short",-1,1)*(S416-H416)*G416/Z416)</f>
        <v/>
      </c>
      <c r="AF416" s="25" t="str">
        <f aca="false">IF(OR(T416="",N(Z416)=0),"",IF($B416="Short",-1,1)*(T416-H416)*G416/Z416)</f>
        <v/>
      </c>
      <c r="AG416" s="21" t="str">
        <f aca="false">IF(U416&lt;&gt;"Open","",Y416*MAX(0,IF($B416="Short",-1,1)*(H416-IF(K416="",I416,K416))))</f>
        <v/>
      </c>
      <c r="AH416" s="26" t="str">
        <f aca="false">IF(U416&lt;&gt;"Closed","",DATE(YEAR(P416),MONTH(P416),1))</f>
        <v/>
      </c>
      <c r="AI416" s="19" t="str">
        <f aca="false">IF(U416&lt;&gt;"Closed","",COUNTIFS($U$7:$U$506,"Closed",$P$7:$P$506,"&lt;"&amp;P416)+COUNTIFS($U$7:U416,"Closed",$P$7:P416,P416))</f>
        <v/>
      </c>
    </row>
    <row r="417" customFormat="false" ht="15" hidden="false" customHeight="false" outlineLevel="0" collapsed="false">
      <c r="A417" s="13"/>
      <c r="B417" s="48"/>
      <c r="C417" s="48"/>
      <c r="D417" s="48"/>
      <c r="E417" s="15"/>
      <c r="F417" s="15"/>
      <c r="G417" s="16"/>
      <c r="H417" s="17"/>
      <c r="I417" s="17"/>
      <c r="J417" s="17"/>
      <c r="K417" s="17"/>
      <c r="L417" s="16"/>
      <c r="M417" s="17"/>
      <c r="N417" s="16"/>
      <c r="O417" s="17"/>
      <c r="P417" s="15"/>
      <c r="Q417" s="17"/>
      <c r="R417" s="17"/>
      <c r="S417" s="17"/>
      <c r="T417" s="17"/>
      <c r="U417" s="18" t="str">
        <f aca="false">IF(A417="","",IF(N(G417)-N(L417)-N(N417)&lt;0,"Check shares",IF(AND(P417&lt;&gt;"",Q417&lt;&gt;""),"Closed","Open")))</f>
        <v/>
      </c>
      <c r="V417" s="19" t="str">
        <f aca="false">IF(OR(F417="",P417=""),"",NETWORKDAYS(F417,P417,Lists!$F$5:$F$40)-1)</f>
        <v/>
      </c>
      <c r="W417" s="18" t="str">
        <f aca="false">IF(V417="","",IF(V417=0,"Same day","Overnight"))</f>
        <v/>
      </c>
      <c r="X417" s="18" t="str">
        <f aca="false">IF(OR(E417="",F417=""),"",IF(AND(E417&gt;=F417,OR(P417="",E417&lt;=P417)),"Yes","No"))</f>
        <v/>
      </c>
      <c r="Y417" s="20" t="str">
        <f aca="false">IF(A417="","",N(G417)-N(L417)-N(N417))</f>
        <v/>
      </c>
      <c r="Z417" s="21" t="str">
        <f aca="false">IF(OR(G417="",H417="",I417=""),"",ABS(H417-I417)*G417)</f>
        <v/>
      </c>
      <c r="AA417" s="22" t="str">
        <f aca="false">IF(OR(J417="",N(Z417)=0),"",ABS(J417-H417)/ABS(H417-I417))</f>
        <v/>
      </c>
      <c r="AB417" s="23" t="str">
        <f aca="false">IF(U417&lt;&gt;"Closed","",(N(L417)*N(M417)+N(N417)*N(O417)+Y417*Q417)/G417)</f>
        <v/>
      </c>
      <c r="AC417" s="24" t="str">
        <f aca="false">IF(U417&lt;&gt;"Closed","",IF($B417="Short",-1,1)*((N(M417)-H417)*N(L417)+(N(O417)-H417)*N(N417)+(Q417-H417)*Y417)-N(R417))</f>
        <v/>
      </c>
      <c r="AD417" s="25" t="str">
        <f aca="false">IF(OR(AC417="",N(Z417)=0),"",AC417/Z417)</f>
        <v/>
      </c>
      <c r="AE417" s="25" t="str">
        <f aca="false">IF(OR(S417="",N(Z417)=0),"",IF($B417="Short",-1,1)*(S417-H417)*G417/Z417)</f>
        <v/>
      </c>
      <c r="AF417" s="25" t="str">
        <f aca="false">IF(OR(T417="",N(Z417)=0),"",IF($B417="Short",-1,1)*(T417-H417)*G417/Z417)</f>
        <v/>
      </c>
      <c r="AG417" s="21" t="str">
        <f aca="false">IF(U417&lt;&gt;"Open","",Y417*MAX(0,IF($B417="Short",-1,1)*(H417-IF(K417="",I417,K417))))</f>
        <v/>
      </c>
      <c r="AH417" s="26" t="str">
        <f aca="false">IF(U417&lt;&gt;"Closed","",DATE(YEAR(P417),MONTH(P417),1))</f>
        <v/>
      </c>
      <c r="AI417" s="19" t="str">
        <f aca="false">IF(U417&lt;&gt;"Closed","",COUNTIFS($U$7:$U$506,"Closed",$P$7:$P$506,"&lt;"&amp;P417)+COUNTIFS($U$7:U417,"Closed",$P$7:P417,P417))</f>
        <v/>
      </c>
    </row>
    <row r="418" customFormat="false" ht="15" hidden="false" customHeight="false" outlineLevel="0" collapsed="false">
      <c r="A418" s="13"/>
      <c r="B418" s="48"/>
      <c r="C418" s="48"/>
      <c r="D418" s="48"/>
      <c r="E418" s="15"/>
      <c r="F418" s="15"/>
      <c r="G418" s="16"/>
      <c r="H418" s="17"/>
      <c r="I418" s="17"/>
      <c r="J418" s="17"/>
      <c r="K418" s="17"/>
      <c r="L418" s="16"/>
      <c r="M418" s="17"/>
      <c r="N418" s="16"/>
      <c r="O418" s="17"/>
      <c r="P418" s="15"/>
      <c r="Q418" s="17"/>
      <c r="R418" s="17"/>
      <c r="S418" s="17"/>
      <c r="T418" s="17"/>
      <c r="U418" s="18" t="str">
        <f aca="false">IF(A418="","",IF(N(G418)-N(L418)-N(N418)&lt;0,"Check shares",IF(AND(P418&lt;&gt;"",Q418&lt;&gt;""),"Closed","Open")))</f>
        <v/>
      </c>
      <c r="V418" s="19" t="str">
        <f aca="false">IF(OR(F418="",P418=""),"",NETWORKDAYS(F418,P418,Lists!$F$5:$F$40)-1)</f>
        <v/>
      </c>
      <c r="W418" s="18" t="str">
        <f aca="false">IF(V418="","",IF(V418=0,"Same day","Overnight"))</f>
        <v/>
      </c>
      <c r="X418" s="18" t="str">
        <f aca="false">IF(OR(E418="",F418=""),"",IF(AND(E418&gt;=F418,OR(P418="",E418&lt;=P418)),"Yes","No"))</f>
        <v/>
      </c>
      <c r="Y418" s="20" t="str">
        <f aca="false">IF(A418="","",N(G418)-N(L418)-N(N418))</f>
        <v/>
      </c>
      <c r="Z418" s="21" t="str">
        <f aca="false">IF(OR(G418="",H418="",I418=""),"",ABS(H418-I418)*G418)</f>
        <v/>
      </c>
      <c r="AA418" s="22" t="str">
        <f aca="false">IF(OR(J418="",N(Z418)=0),"",ABS(J418-H418)/ABS(H418-I418))</f>
        <v/>
      </c>
      <c r="AB418" s="23" t="str">
        <f aca="false">IF(U418&lt;&gt;"Closed","",(N(L418)*N(M418)+N(N418)*N(O418)+Y418*Q418)/G418)</f>
        <v/>
      </c>
      <c r="AC418" s="24" t="str">
        <f aca="false">IF(U418&lt;&gt;"Closed","",IF($B418="Short",-1,1)*((N(M418)-H418)*N(L418)+(N(O418)-H418)*N(N418)+(Q418-H418)*Y418)-N(R418))</f>
        <v/>
      </c>
      <c r="AD418" s="25" t="str">
        <f aca="false">IF(OR(AC418="",N(Z418)=0),"",AC418/Z418)</f>
        <v/>
      </c>
      <c r="AE418" s="25" t="str">
        <f aca="false">IF(OR(S418="",N(Z418)=0),"",IF($B418="Short",-1,1)*(S418-H418)*G418/Z418)</f>
        <v/>
      </c>
      <c r="AF418" s="25" t="str">
        <f aca="false">IF(OR(T418="",N(Z418)=0),"",IF($B418="Short",-1,1)*(T418-H418)*G418/Z418)</f>
        <v/>
      </c>
      <c r="AG418" s="21" t="str">
        <f aca="false">IF(U418&lt;&gt;"Open","",Y418*MAX(0,IF($B418="Short",-1,1)*(H418-IF(K418="",I418,K418))))</f>
        <v/>
      </c>
      <c r="AH418" s="26" t="str">
        <f aca="false">IF(U418&lt;&gt;"Closed","",DATE(YEAR(P418),MONTH(P418),1))</f>
        <v/>
      </c>
      <c r="AI418" s="19" t="str">
        <f aca="false">IF(U418&lt;&gt;"Closed","",COUNTIFS($U$7:$U$506,"Closed",$P$7:$P$506,"&lt;"&amp;P418)+COUNTIFS($U$7:U418,"Closed",$P$7:P418,P418))</f>
        <v/>
      </c>
    </row>
    <row r="419" customFormat="false" ht="15" hidden="false" customHeight="false" outlineLevel="0" collapsed="false">
      <c r="A419" s="13"/>
      <c r="B419" s="48"/>
      <c r="C419" s="48"/>
      <c r="D419" s="48"/>
      <c r="E419" s="15"/>
      <c r="F419" s="15"/>
      <c r="G419" s="16"/>
      <c r="H419" s="17"/>
      <c r="I419" s="17"/>
      <c r="J419" s="17"/>
      <c r="K419" s="17"/>
      <c r="L419" s="16"/>
      <c r="M419" s="17"/>
      <c r="N419" s="16"/>
      <c r="O419" s="17"/>
      <c r="P419" s="15"/>
      <c r="Q419" s="17"/>
      <c r="R419" s="17"/>
      <c r="S419" s="17"/>
      <c r="T419" s="17"/>
      <c r="U419" s="18" t="str">
        <f aca="false">IF(A419="","",IF(N(G419)-N(L419)-N(N419)&lt;0,"Check shares",IF(AND(P419&lt;&gt;"",Q419&lt;&gt;""),"Closed","Open")))</f>
        <v/>
      </c>
      <c r="V419" s="19" t="str">
        <f aca="false">IF(OR(F419="",P419=""),"",NETWORKDAYS(F419,P419,Lists!$F$5:$F$40)-1)</f>
        <v/>
      </c>
      <c r="W419" s="18" t="str">
        <f aca="false">IF(V419="","",IF(V419=0,"Same day","Overnight"))</f>
        <v/>
      </c>
      <c r="X419" s="18" t="str">
        <f aca="false">IF(OR(E419="",F419=""),"",IF(AND(E419&gt;=F419,OR(P419="",E419&lt;=P419)),"Yes","No"))</f>
        <v/>
      </c>
      <c r="Y419" s="20" t="str">
        <f aca="false">IF(A419="","",N(G419)-N(L419)-N(N419))</f>
        <v/>
      </c>
      <c r="Z419" s="21" t="str">
        <f aca="false">IF(OR(G419="",H419="",I419=""),"",ABS(H419-I419)*G419)</f>
        <v/>
      </c>
      <c r="AA419" s="22" t="str">
        <f aca="false">IF(OR(J419="",N(Z419)=0),"",ABS(J419-H419)/ABS(H419-I419))</f>
        <v/>
      </c>
      <c r="AB419" s="23" t="str">
        <f aca="false">IF(U419&lt;&gt;"Closed","",(N(L419)*N(M419)+N(N419)*N(O419)+Y419*Q419)/G419)</f>
        <v/>
      </c>
      <c r="AC419" s="24" t="str">
        <f aca="false">IF(U419&lt;&gt;"Closed","",IF($B419="Short",-1,1)*((N(M419)-H419)*N(L419)+(N(O419)-H419)*N(N419)+(Q419-H419)*Y419)-N(R419))</f>
        <v/>
      </c>
      <c r="AD419" s="25" t="str">
        <f aca="false">IF(OR(AC419="",N(Z419)=0),"",AC419/Z419)</f>
        <v/>
      </c>
      <c r="AE419" s="25" t="str">
        <f aca="false">IF(OR(S419="",N(Z419)=0),"",IF($B419="Short",-1,1)*(S419-H419)*G419/Z419)</f>
        <v/>
      </c>
      <c r="AF419" s="25" t="str">
        <f aca="false">IF(OR(T419="",N(Z419)=0),"",IF($B419="Short",-1,1)*(T419-H419)*G419/Z419)</f>
        <v/>
      </c>
      <c r="AG419" s="21" t="str">
        <f aca="false">IF(U419&lt;&gt;"Open","",Y419*MAX(0,IF($B419="Short",-1,1)*(H419-IF(K419="",I419,K419))))</f>
        <v/>
      </c>
      <c r="AH419" s="26" t="str">
        <f aca="false">IF(U419&lt;&gt;"Closed","",DATE(YEAR(P419),MONTH(P419),1))</f>
        <v/>
      </c>
      <c r="AI419" s="19" t="str">
        <f aca="false">IF(U419&lt;&gt;"Closed","",COUNTIFS($U$7:$U$506,"Closed",$P$7:$P$506,"&lt;"&amp;P419)+COUNTIFS($U$7:U419,"Closed",$P$7:P419,P419))</f>
        <v/>
      </c>
    </row>
    <row r="420" customFormat="false" ht="15" hidden="false" customHeight="false" outlineLevel="0" collapsed="false">
      <c r="A420" s="13"/>
      <c r="B420" s="48"/>
      <c r="C420" s="48"/>
      <c r="D420" s="48"/>
      <c r="E420" s="15"/>
      <c r="F420" s="15"/>
      <c r="G420" s="16"/>
      <c r="H420" s="17"/>
      <c r="I420" s="17"/>
      <c r="J420" s="17"/>
      <c r="K420" s="17"/>
      <c r="L420" s="16"/>
      <c r="M420" s="17"/>
      <c r="N420" s="16"/>
      <c r="O420" s="17"/>
      <c r="P420" s="15"/>
      <c r="Q420" s="17"/>
      <c r="R420" s="17"/>
      <c r="S420" s="17"/>
      <c r="T420" s="17"/>
      <c r="U420" s="18" t="str">
        <f aca="false">IF(A420="","",IF(N(G420)-N(L420)-N(N420)&lt;0,"Check shares",IF(AND(P420&lt;&gt;"",Q420&lt;&gt;""),"Closed","Open")))</f>
        <v/>
      </c>
      <c r="V420" s="19" t="str">
        <f aca="false">IF(OR(F420="",P420=""),"",NETWORKDAYS(F420,P420,Lists!$F$5:$F$40)-1)</f>
        <v/>
      </c>
      <c r="W420" s="18" t="str">
        <f aca="false">IF(V420="","",IF(V420=0,"Same day","Overnight"))</f>
        <v/>
      </c>
      <c r="X420" s="18" t="str">
        <f aca="false">IF(OR(E420="",F420=""),"",IF(AND(E420&gt;=F420,OR(P420="",E420&lt;=P420)),"Yes","No"))</f>
        <v/>
      </c>
      <c r="Y420" s="20" t="str">
        <f aca="false">IF(A420="","",N(G420)-N(L420)-N(N420))</f>
        <v/>
      </c>
      <c r="Z420" s="21" t="str">
        <f aca="false">IF(OR(G420="",H420="",I420=""),"",ABS(H420-I420)*G420)</f>
        <v/>
      </c>
      <c r="AA420" s="22" t="str">
        <f aca="false">IF(OR(J420="",N(Z420)=0),"",ABS(J420-H420)/ABS(H420-I420))</f>
        <v/>
      </c>
      <c r="AB420" s="23" t="str">
        <f aca="false">IF(U420&lt;&gt;"Closed","",(N(L420)*N(M420)+N(N420)*N(O420)+Y420*Q420)/G420)</f>
        <v/>
      </c>
      <c r="AC420" s="24" t="str">
        <f aca="false">IF(U420&lt;&gt;"Closed","",IF($B420="Short",-1,1)*((N(M420)-H420)*N(L420)+(N(O420)-H420)*N(N420)+(Q420-H420)*Y420)-N(R420))</f>
        <v/>
      </c>
      <c r="AD420" s="25" t="str">
        <f aca="false">IF(OR(AC420="",N(Z420)=0),"",AC420/Z420)</f>
        <v/>
      </c>
      <c r="AE420" s="25" t="str">
        <f aca="false">IF(OR(S420="",N(Z420)=0),"",IF($B420="Short",-1,1)*(S420-H420)*G420/Z420)</f>
        <v/>
      </c>
      <c r="AF420" s="25" t="str">
        <f aca="false">IF(OR(T420="",N(Z420)=0),"",IF($B420="Short",-1,1)*(T420-H420)*G420/Z420)</f>
        <v/>
      </c>
      <c r="AG420" s="21" t="str">
        <f aca="false">IF(U420&lt;&gt;"Open","",Y420*MAX(0,IF($B420="Short",-1,1)*(H420-IF(K420="",I420,K420))))</f>
        <v/>
      </c>
      <c r="AH420" s="26" t="str">
        <f aca="false">IF(U420&lt;&gt;"Closed","",DATE(YEAR(P420),MONTH(P420),1))</f>
        <v/>
      </c>
      <c r="AI420" s="19" t="str">
        <f aca="false">IF(U420&lt;&gt;"Closed","",COUNTIFS($U$7:$U$506,"Closed",$P$7:$P$506,"&lt;"&amp;P420)+COUNTIFS($U$7:U420,"Closed",$P$7:P420,P420))</f>
        <v/>
      </c>
    </row>
    <row r="421" customFormat="false" ht="15" hidden="false" customHeight="false" outlineLevel="0" collapsed="false">
      <c r="A421" s="13"/>
      <c r="B421" s="48"/>
      <c r="C421" s="48"/>
      <c r="D421" s="48"/>
      <c r="E421" s="15"/>
      <c r="F421" s="15"/>
      <c r="G421" s="16"/>
      <c r="H421" s="17"/>
      <c r="I421" s="17"/>
      <c r="J421" s="17"/>
      <c r="K421" s="17"/>
      <c r="L421" s="16"/>
      <c r="M421" s="17"/>
      <c r="N421" s="16"/>
      <c r="O421" s="17"/>
      <c r="P421" s="15"/>
      <c r="Q421" s="17"/>
      <c r="R421" s="17"/>
      <c r="S421" s="17"/>
      <c r="T421" s="17"/>
      <c r="U421" s="18" t="str">
        <f aca="false">IF(A421="","",IF(N(G421)-N(L421)-N(N421)&lt;0,"Check shares",IF(AND(P421&lt;&gt;"",Q421&lt;&gt;""),"Closed","Open")))</f>
        <v/>
      </c>
      <c r="V421" s="19" t="str">
        <f aca="false">IF(OR(F421="",P421=""),"",NETWORKDAYS(F421,P421,Lists!$F$5:$F$40)-1)</f>
        <v/>
      </c>
      <c r="W421" s="18" t="str">
        <f aca="false">IF(V421="","",IF(V421=0,"Same day","Overnight"))</f>
        <v/>
      </c>
      <c r="X421" s="18" t="str">
        <f aca="false">IF(OR(E421="",F421=""),"",IF(AND(E421&gt;=F421,OR(P421="",E421&lt;=P421)),"Yes","No"))</f>
        <v/>
      </c>
      <c r="Y421" s="20" t="str">
        <f aca="false">IF(A421="","",N(G421)-N(L421)-N(N421))</f>
        <v/>
      </c>
      <c r="Z421" s="21" t="str">
        <f aca="false">IF(OR(G421="",H421="",I421=""),"",ABS(H421-I421)*G421)</f>
        <v/>
      </c>
      <c r="AA421" s="22" t="str">
        <f aca="false">IF(OR(J421="",N(Z421)=0),"",ABS(J421-H421)/ABS(H421-I421))</f>
        <v/>
      </c>
      <c r="AB421" s="23" t="str">
        <f aca="false">IF(U421&lt;&gt;"Closed","",(N(L421)*N(M421)+N(N421)*N(O421)+Y421*Q421)/G421)</f>
        <v/>
      </c>
      <c r="AC421" s="24" t="str">
        <f aca="false">IF(U421&lt;&gt;"Closed","",IF($B421="Short",-1,1)*((N(M421)-H421)*N(L421)+(N(O421)-H421)*N(N421)+(Q421-H421)*Y421)-N(R421))</f>
        <v/>
      </c>
      <c r="AD421" s="25" t="str">
        <f aca="false">IF(OR(AC421="",N(Z421)=0),"",AC421/Z421)</f>
        <v/>
      </c>
      <c r="AE421" s="25" t="str">
        <f aca="false">IF(OR(S421="",N(Z421)=0),"",IF($B421="Short",-1,1)*(S421-H421)*G421/Z421)</f>
        <v/>
      </c>
      <c r="AF421" s="25" t="str">
        <f aca="false">IF(OR(T421="",N(Z421)=0),"",IF($B421="Short",-1,1)*(T421-H421)*G421/Z421)</f>
        <v/>
      </c>
      <c r="AG421" s="21" t="str">
        <f aca="false">IF(U421&lt;&gt;"Open","",Y421*MAX(0,IF($B421="Short",-1,1)*(H421-IF(K421="",I421,K421))))</f>
        <v/>
      </c>
      <c r="AH421" s="26" t="str">
        <f aca="false">IF(U421&lt;&gt;"Closed","",DATE(YEAR(P421),MONTH(P421),1))</f>
        <v/>
      </c>
      <c r="AI421" s="19" t="str">
        <f aca="false">IF(U421&lt;&gt;"Closed","",COUNTIFS($U$7:$U$506,"Closed",$P$7:$P$506,"&lt;"&amp;P421)+COUNTIFS($U$7:U421,"Closed",$P$7:P421,P421))</f>
        <v/>
      </c>
    </row>
    <row r="422" customFormat="false" ht="15" hidden="false" customHeight="false" outlineLevel="0" collapsed="false">
      <c r="A422" s="13"/>
      <c r="B422" s="48"/>
      <c r="C422" s="48"/>
      <c r="D422" s="48"/>
      <c r="E422" s="15"/>
      <c r="F422" s="15"/>
      <c r="G422" s="16"/>
      <c r="H422" s="17"/>
      <c r="I422" s="17"/>
      <c r="J422" s="17"/>
      <c r="K422" s="17"/>
      <c r="L422" s="16"/>
      <c r="M422" s="17"/>
      <c r="N422" s="16"/>
      <c r="O422" s="17"/>
      <c r="P422" s="15"/>
      <c r="Q422" s="17"/>
      <c r="R422" s="17"/>
      <c r="S422" s="17"/>
      <c r="T422" s="17"/>
      <c r="U422" s="18" t="str">
        <f aca="false">IF(A422="","",IF(N(G422)-N(L422)-N(N422)&lt;0,"Check shares",IF(AND(P422&lt;&gt;"",Q422&lt;&gt;""),"Closed","Open")))</f>
        <v/>
      </c>
      <c r="V422" s="19" t="str">
        <f aca="false">IF(OR(F422="",P422=""),"",NETWORKDAYS(F422,P422,Lists!$F$5:$F$40)-1)</f>
        <v/>
      </c>
      <c r="W422" s="18" t="str">
        <f aca="false">IF(V422="","",IF(V422=0,"Same day","Overnight"))</f>
        <v/>
      </c>
      <c r="X422" s="18" t="str">
        <f aca="false">IF(OR(E422="",F422=""),"",IF(AND(E422&gt;=F422,OR(P422="",E422&lt;=P422)),"Yes","No"))</f>
        <v/>
      </c>
      <c r="Y422" s="20" t="str">
        <f aca="false">IF(A422="","",N(G422)-N(L422)-N(N422))</f>
        <v/>
      </c>
      <c r="Z422" s="21" t="str">
        <f aca="false">IF(OR(G422="",H422="",I422=""),"",ABS(H422-I422)*G422)</f>
        <v/>
      </c>
      <c r="AA422" s="22" t="str">
        <f aca="false">IF(OR(J422="",N(Z422)=0),"",ABS(J422-H422)/ABS(H422-I422))</f>
        <v/>
      </c>
      <c r="AB422" s="23" t="str">
        <f aca="false">IF(U422&lt;&gt;"Closed","",(N(L422)*N(M422)+N(N422)*N(O422)+Y422*Q422)/G422)</f>
        <v/>
      </c>
      <c r="AC422" s="24" t="str">
        <f aca="false">IF(U422&lt;&gt;"Closed","",IF($B422="Short",-1,1)*((N(M422)-H422)*N(L422)+(N(O422)-H422)*N(N422)+(Q422-H422)*Y422)-N(R422))</f>
        <v/>
      </c>
      <c r="AD422" s="25" t="str">
        <f aca="false">IF(OR(AC422="",N(Z422)=0),"",AC422/Z422)</f>
        <v/>
      </c>
      <c r="AE422" s="25" t="str">
        <f aca="false">IF(OR(S422="",N(Z422)=0),"",IF($B422="Short",-1,1)*(S422-H422)*G422/Z422)</f>
        <v/>
      </c>
      <c r="AF422" s="25" t="str">
        <f aca="false">IF(OR(T422="",N(Z422)=0),"",IF($B422="Short",-1,1)*(T422-H422)*G422/Z422)</f>
        <v/>
      </c>
      <c r="AG422" s="21" t="str">
        <f aca="false">IF(U422&lt;&gt;"Open","",Y422*MAX(0,IF($B422="Short",-1,1)*(H422-IF(K422="",I422,K422))))</f>
        <v/>
      </c>
      <c r="AH422" s="26" t="str">
        <f aca="false">IF(U422&lt;&gt;"Closed","",DATE(YEAR(P422),MONTH(P422),1))</f>
        <v/>
      </c>
      <c r="AI422" s="19" t="str">
        <f aca="false">IF(U422&lt;&gt;"Closed","",COUNTIFS($U$7:$U$506,"Closed",$P$7:$P$506,"&lt;"&amp;P422)+COUNTIFS($U$7:U422,"Closed",$P$7:P422,P422))</f>
        <v/>
      </c>
    </row>
    <row r="423" customFormat="false" ht="15" hidden="false" customHeight="false" outlineLevel="0" collapsed="false">
      <c r="A423" s="13"/>
      <c r="B423" s="48"/>
      <c r="C423" s="48"/>
      <c r="D423" s="48"/>
      <c r="E423" s="15"/>
      <c r="F423" s="15"/>
      <c r="G423" s="16"/>
      <c r="H423" s="17"/>
      <c r="I423" s="17"/>
      <c r="J423" s="17"/>
      <c r="K423" s="17"/>
      <c r="L423" s="16"/>
      <c r="M423" s="17"/>
      <c r="N423" s="16"/>
      <c r="O423" s="17"/>
      <c r="P423" s="15"/>
      <c r="Q423" s="17"/>
      <c r="R423" s="17"/>
      <c r="S423" s="17"/>
      <c r="T423" s="17"/>
      <c r="U423" s="18" t="str">
        <f aca="false">IF(A423="","",IF(N(G423)-N(L423)-N(N423)&lt;0,"Check shares",IF(AND(P423&lt;&gt;"",Q423&lt;&gt;""),"Closed","Open")))</f>
        <v/>
      </c>
      <c r="V423" s="19" t="str">
        <f aca="false">IF(OR(F423="",P423=""),"",NETWORKDAYS(F423,P423,Lists!$F$5:$F$40)-1)</f>
        <v/>
      </c>
      <c r="W423" s="18" t="str">
        <f aca="false">IF(V423="","",IF(V423=0,"Same day","Overnight"))</f>
        <v/>
      </c>
      <c r="X423" s="18" t="str">
        <f aca="false">IF(OR(E423="",F423=""),"",IF(AND(E423&gt;=F423,OR(P423="",E423&lt;=P423)),"Yes","No"))</f>
        <v/>
      </c>
      <c r="Y423" s="20" t="str">
        <f aca="false">IF(A423="","",N(G423)-N(L423)-N(N423))</f>
        <v/>
      </c>
      <c r="Z423" s="21" t="str">
        <f aca="false">IF(OR(G423="",H423="",I423=""),"",ABS(H423-I423)*G423)</f>
        <v/>
      </c>
      <c r="AA423" s="22" t="str">
        <f aca="false">IF(OR(J423="",N(Z423)=0),"",ABS(J423-H423)/ABS(H423-I423))</f>
        <v/>
      </c>
      <c r="AB423" s="23" t="str">
        <f aca="false">IF(U423&lt;&gt;"Closed","",(N(L423)*N(M423)+N(N423)*N(O423)+Y423*Q423)/G423)</f>
        <v/>
      </c>
      <c r="AC423" s="24" t="str">
        <f aca="false">IF(U423&lt;&gt;"Closed","",IF($B423="Short",-1,1)*((N(M423)-H423)*N(L423)+(N(O423)-H423)*N(N423)+(Q423-H423)*Y423)-N(R423))</f>
        <v/>
      </c>
      <c r="AD423" s="25" t="str">
        <f aca="false">IF(OR(AC423="",N(Z423)=0),"",AC423/Z423)</f>
        <v/>
      </c>
      <c r="AE423" s="25" t="str">
        <f aca="false">IF(OR(S423="",N(Z423)=0),"",IF($B423="Short",-1,1)*(S423-H423)*G423/Z423)</f>
        <v/>
      </c>
      <c r="AF423" s="25" t="str">
        <f aca="false">IF(OR(T423="",N(Z423)=0),"",IF($B423="Short",-1,1)*(T423-H423)*G423/Z423)</f>
        <v/>
      </c>
      <c r="AG423" s="21" t="str">
        <f aca="false">IF(U423&lt;&gt;"Open","",Y423*MAX(0,IF($B423="Short",-1,1)*(H423-IF(K423="",I423,K423))))</f>
        <v/>
      </c>
      <c r="AH423" s="26" t="str">
        <f aca="false">IF(U423&lt;&gt;"Closed","",DATE(YEAR(P423),MONTH(P423),1))</f>
        <v/>
      </c>
      <c r="AI423" s="19" t="str">
        <f aca="false">IF(U423&lt;&gt;"Closed","",COUNTIFS($U$7:$U$506,"Closed",$P$7:$P$506,"&lt;"&amp;P423)+COUNTIFS($U$7:U423,"Closed",$P$7:P423,P423))</f>
        <v/>
      </c>
    </row>
    <row r="424" customFormat="false" ht="15" hidden="false" customHeight="false" outlineLevel="0" collapsed="false">
      <c r="A424" s="13"/>
      <c r="B424" s="48"/>
      <c r="C424" s="48"/>
      <c r="D424" s="48"/>
      <c r="E424" s="15"/>
      <c r="F424" s="15"/>
      <c r="G424" s="16"/>
      <c r="H424" s="17"/>
      <c r="I424" s="17"/>
      <c r="J424" s="17"/>
      <c r="K424" s="17"/>
      <c r="L424" s="16"/>
      <c r="M424" s="17"/>
      <c r="N424" s="16"/>
      <c r="O424" s="17"/>
      <c r="P424" s="15"/>
      <c r="Q424" s="17"/>
      <c r="R424" s="17"/>
      <c r="S424" s="17"/>
      <c r="T424" s="17"/>
      <c r="U424" s="18" t="str">
        <f aca="false">IF(A424="","",IF(N(G424)-N(L424)-N(N424)&lt;0,"Check shares",IF(AND(P424&lt;&gt;"",Q424&lt;&gt;""),"Closed","Open")))</f>
        <v/>
      </c>
      <c r="V424" s="19" t="str">
        <f aca="false">IF(OR(F424="",P424=""),"",NETWORKDAYS(F424,P424,Lists!$F$5:$F$40)-1)</f>
        <v/>
      </c>
      <c r="W424" s="18" t="str">
        <f aca="false">IF(V424="","",IF(V424=0,"Same day","Overnight"))</f>
        <v/>
      </c>
      <c r="X424" s="18" t="str">
        <f aca="false">IF(OR(E424="",F424=""),"",IF(AND(E424&gt;=F424,OR(P424="",E424&lt;=P424)),"Yes","No"))</f>
        <v/>
      </c>
      <c r="Y424" s="20" t="str">
        <f aca="false">IF(A424="","",N(G424)-N(L424)-N(N424))</f>
        <v/>
      </c>
      <c r="Z424" s="21" t="str">
        <f aca="false">IF(OR(G424="",H424="",I424=""),"",ABS(H424-I424)*G424)</f>
        <v/>
      </c>
      <c r="AA424" s="22" t="str">
        <f aca="false">IF(OR(J424="",N(Z424)=0),"",ABS(J424-H424)/ABS(H424-I424))</f>
        <v/>
      </c>
      <c r="AB424" s="23" t="str">
        <f aca="false">IF(U424&lt;&gt;"Closed","",(N(L424)*N(M424)+N(N424)*N(O424)+Y424*Q424)/G424)</f>
        <v/>
      </c>
      <c r="AC424" s="24" t="str">
        <f aca="false">IF(U424&lt;&gt;"Closed","",IF($B424="Short",-1,1)*((N(M424)-H424)*N(L424)+(N(O424)-H424)*N(N424)+(Q424-H424)*Y424)-N(R424))</f>
        <v/>
      </c>
      <c r="AD424" s="25" t="str">
        <f aca="false">IF(OR(AC424="",N(Z424)=0),"",AC424/Z424)</f>
        <v/>
      </c>
      <c r="AE424" s="25" t="str">
        <f aca="false">IF(OR(S424="",N(Z424)=0),"",IF($B424="Short",-1,1)*(S424-H424)*G424/Z424)</f>
        <v/>
      </c>
      <c r="AF424" s="25" t="str">
        <f aca="false">IF(OR(T424="",N(Z424)=0),"",IF($B424="Short",-1,1)*(T424-H424)*G424/Z424)</f>
        <v/>
      </c>
      <c r="AG424" s="21" t="str">
        <f aca="false">IF(U424&lt;&gt;"Open","",Y424*MAX(0,IF($B424="Short",-1,1)*(H424-IF(K424="",I424,K424))))</f>
        <v/>
      </c>
      <c r="AH424" s="26" t="str">
        <f aca="false">IF(U424&lt;&gt;"Closed","",DATE(YEAR(P424),MONTH(P424),1))</f>
        <v/>
      </c>
      <c r="AI424" s="19" t="str">
        <f aca="false">IF(U424&lt;&gt;"Closed","",COUNTIFS($U$7:$U$506,"Closed",$P$7:$P$506,"&lt;"&amp;P424)+COUNTIFS($U$7:U424,"Closed",$P$7:P424,P424))</f>
        <v/>
      </c>
    </row>
    <row r="425" customFormat="false" ht="15" hidden="false" customHeight="false" outlineLevel="0" collapsed="false">
      <c r="A425" s="13"/>
      <c r="B425" s="48"/>
      <c r="C425" s="48"/>
      <c r="D425" s="48"/>
      <c r="E425" s="15"/>
      <c r="F425" s="15"/>
      <c r="G425" s="16"/>
      <c r="H425" s="17"/>
      <c r="I425" s="17"/>
      <c r="J425" s="17"/>
      <c r="K425" s="17"/>
      <c r="L425" s="16"/>
      <c r="M425" s="17"/>
      <c r="N425" s="16"/>
      <c r="O425" s="17"/>
      <c r="P425" s="15"/>
      <c r="Q425" s="17"/>
      <c r="R425" s="17"/>
      <c r="S425" s="17"/>
      <c r="T425" s="17"/>
      <c r="U425" s="18" t="str">
        <f aca="false">IF(A425="","",IF(N(G425)-N(L425)-N(N425)&lt;0,"Check shares",IF(AND(P425&lt;&gt;"",Q425&lt;&gt;""),"Closed","Open")))</f>
        <v/>
      </c>
      <c r="V425" s="19" t="str">
        <f aca="false">IF(OR(F425="",P425=""),"",NETWORKDAYS(F425,P425,Lists!$F$5:$F$40)-1)</f>
        <v/>
      </c>
      <c r="W425" s="18" t="str">
        <f aca="false">IF(V425="","",IF(V425=0,"Same day","Overnight"))</f>
        <v/>
      </c>
      <c r="X425" s="18" t="str">
        <f aca="false">IF(OR(E425="",F425=""),"",IF(AND(E425&gt;=F425,OR(P425="",E425&lt;=P425)),"Yes","No"))</f>
        <v/>
      </c>
      <c r="Y425" s="20" t="str">
        <f aca="false">IF(A425="","",N(G425)-N(L425)-N(N425))</f>
        <v/>
      </c>
      <c r="Z425" s="21" t="str">
        <f aca="false">IF(OR(G425="",H425="",I425=""),"",ABS(H425-I425)*G425)</f>
        <v/>
      </c>
      <c r="AA425" s="22" t="str">
        <f aca="false">IF(OR(J425="",N(Z425)=0),"",ABS(J425-H425)/ABS(H425-I425))</f>
        <v/>
      </c>
      <c r="AB425" s="23" t="str">
        <f aca="false">IF(U425&lt;&gt;"Closed","",(N(L425)*N(M425)+N(N425)*N(O425)+Y425*Q425)/G425)</f>
        <v/>
      </c>
      <c r="AC425" s="24" t="str">
        <f aca="false">IF(U425&lt;&gt;"Closed","",IF($B425="Short",-1,1)*((N(M425)-H425)*N(L425)+(N(O425)-H425)*N(N425)+(Q425-H425)*Y425)-N(R425))</f>
        <v/>
      </c>
      <c r="AD425" s="25" t="str">
        <f aca="false">IF(OR(AC425="",N(Z425)=0),"",AC425/Z425)</f>
        <v/>
      </c>
      <c r="AE425" s="25" t="str">
        <f aca="false">IF(OR(S425="",N(Z425)=0),"",IF($B425="Short",-1,1)*(S425-H425)*G425/Z425)</f>
        <v/>
      </c>
      <c r="AF425" s="25" t="str">
        <f aca="false">IF(OR(T425="",N(Z425)=0),"",IF($B425="Short",-1,1)*(T425-H425)*G425/Z425)</f>
        <v/>
      </c>
      <c r="AG425" s="21" t="str">
        <f aca="false">IF(U425&lt;&gt;"Open","",Y425*MAX(0,IF($B425="Short",-1,1)*(H425-IF(K425="",I425,K425))))</f>
        <v/>
      </c>
      <c r="AH425" s="26" t="str">
        <f aca="false">IF(U425&lt;&gt;"Closed","",DATE(YEAR(P425),MONTH(P425),1))</f>
        <v/>
      </c>
      <c r="AI425" s="19" t="str">
        <f aca="false">IF(U425&lt;&gt;"Closed","",COUNTIFS($U$7:$U$506,"Closed",$P$7:$P$506,"&lt;"&amp;P425)+COUNTIFS($U$7:U425,"Closed",$P$7:P425,P425))</f>
        <v/>
      </c>
    </row>
    <row r="426" customFormat="false" ht="15" hidden="false" customHeight="false" outlineLevel="0" collapsed="false">
      <c r="A426" s="13"/>
      <c r="B426" s="48"/>
      <c r="C426" s="48"/>
      <c r="D426" s="48"/>
      <c r="E426" s="15"/>
      <c r="F426" s="15"/>
      <c r="G426" s="16"/>
      <c r="H426" s="17"/>
      <c r="I426" s="17"/>
      <c r="J426" s="17"/>
      <c r="K426" s="17"/>
      <c r="L426" s="16"/>
      <c r="M426" s="17"/>
      <c r="N426" s="16"/>
      <c r="O426" s="17"/>
      <c r="P426" s="15"/>
      <c r="Q426" s="17"/>
      <c r="R426" s="17"/>
      <c r="S426" s="17"/>
      <c r="T426" s="17"/>
      <c r="U426" s="18" t="str">
        <f aca="false">IF(A426="","",IF(N(G426)-N(L426)-N(N426)&lt;0,"Check shares",IF(AND(P426&lt;&gt;"",Q426&lt;&gt;""),"Closed","Open")))</f>
        <v/>
      </c>
      <c r="V426" s="19" t="str">
        <f aca="false">IF(OR(F426="",P426=""),"",NETWORKDAYS(F426,P426,Lists!$F$5:$F$40)-1)</f>
        <v/>
      </c>
      <c r="W426" s="18" t="str">
        <f aca="false">IF(V426="","",IF(V426=0,"Same day","Overnight"))</f>
        <v/>
      </c>
      <c r="X426" s="18" t="str">
        <f aca="false">IF(OR(E426="",F426=""),"",IF(AND(E426&gt;=F426,OR(P426="",E426&lt;=P426)),"Yes","No"))</f>
        <v/>
      </c>
      <c r="Y426" s="20" t="str">
        <f aca="false">IF(A426="","",N(G426)-N(L426)-N(N426))</f>
        <v/>
      </c>
      <c r="Z426" s="21" t="str">
        <f aca="false">IF(OR(G426="",H426="",I426=""),"",ABS(H426-I426)*G426)</f>
        <v/>
      </c>
      <c r="AA426" s="22" t="str">
        <f aca="false">IF(OR(J426="",N(Z426)=0),"",ABS(J426-H426)/ABS(H426-I426))</f>
        <v/>
      </c>
      <c r="AB426" s="23" t="str">
        <f aca="false">IF(U426&lt;&gt;"Closed","",(N(L426)*N(M426)+N(N426)*N(O426)+Y426*Q426)/G426)</f>
        <v/>
      </c>
      <c r="AC426" s="24" t="str">
        <f aca="false">IF(U426&lt;&gt;"Closed","",IF($B426="Short",-1,1)*((N(M426)-H426)*N(L426)+(N(O426)-H426)*N(N426)+(Q426-H426)*Y426)-N(R426))</f>
        <v/>
      </c>
      <c r="AD426" s="25" t="str">
        <f aca="false">IF(OR(AC426="",N(Z426)=0),"",AC426/Z426)</f>
        <v/>
      </c>
      <c r="AE426" s="25" t="str">
        <f aca="false">IF(OR(S426="",N(Z426)=0),"",IF($B426="Short",-1,1)*(S426-H426)*G426/Z426)</f>
        <v/>
      </c>
      <c r="AF426" s="25" t="str">
        <f aca="false">IF(OR(T426="",N(Z426)=0),"",IF($B426="Short",-1,1)*(T426-H426)*G426/Z426)</f>
        <v/>
      </c>
      <c r="AG426" s="21" t="str">
        <f aca="false">IF(U426&lt;&gt;"Open","",Y426*MAX(0,IF($B426="Short",-1,1)*(H426-IF(K426="",I426,K426))))</f>
        <v/>
      </c>
      <c r="AH426" s="26" t="str">
        <f aca="false">IF(U426&lt;&gt;"Closed","",DATE(YEAR(P426),MONTH(P426),1))</f>
        <v/>
      </c>
      <c r="AI426" s="19" t="str">
        <f aca="false">IF(U426&lt;&gt;"Closed","",COUNTIFS($U$7:$U$506,"Closed",$P$7:$P$506,"&lt;"&amp;P426)+COUNTIFS($U$7:U426,"Closed",$P$7:P426,P426))</f>
        <v/>
      </c>
    </row>
    <row r="427" customFormat="false" ht="15" hidden="false" customHeight="false" outlineLevel="0" collapsed="false">
      <c r="A427" s="13"/>
      <c r="B427" s="48"/>
      <c r="C427" s="48"/>
      <c r="D427" s="48"/>
      <c r="E427" s="15"/>
      <c r="F427" s="15"/>
      <c r="G427" s="16"/>
      <c r="H427" s="17"/>
      <c r="I427" s="17"/>
      <c r="J427" s="17"/>
      <c r="K427" s="17"/>
      <c r="L427" s="16"/>
      <c r="M427" s="17"/>
      <c r="N427" s="16"/>
      <c r="O427" s="17"/>
      <c r="P427" s="15"/>
      <c r="Q427" s="17"/>
      <c r="R427" s="17"/>
      <c r="S427" s="17"/>
      <c r="T427" s="17"/>
      <c r="U427" s="18" t="str">
        <f aca="false">IF(A427="","",IF(N(G427)-N(L427)-N(N427)&lt;0,"Check shares",IF(AND(P427&lt;&gt;"",Q427&lt;&gt;""),"Closed","Open")))</f>
        <v/>
      </c>
      <c r="V427" s="19" t="str">
        <f aca="false">IF(OR(F427="",P427=""),"",NETWORKDAYS(F427,P427,Lists!$F$5:$F$40)-1)</f>
        <v/>
      </c>
      <c r="W427" s="18" t="str">
        <f aca="false">IF(V427="","",IF(V427=0,"Same day","Overnight"))</f>
        <v/>
      </c>
      <c r="X427" s="18" t="str">
        <f aca="false">IF(OR(E427="",F427=""),"",IF(AND(E427&gt;=F427,OR(P427="",E427&lt;=P427)),"Yes","No"))</f>
        <v/>
      </c>
      <c r="Y427" s="20" t="str">
        <f aca="false">IF(A427="","",N(G427)-N(L427)-N(N427))</f>
        <v/>
      </c>
      <c r="Z427" s="21" t="str">
        <f aca="false">IF(OR(G427="",H427="",I427=""),"",ABS(H427-I427)*G427)</f>
        <v/>
      </c>
      <c r="AA427" s="22" t="str">
        <f aca="false">IF(OR(J427="",N(Z427)=0),"",ABS(J427-H427)/ABS(H427-I427))</f>
        <v/>
      </c>
      <c r="AB427" s="23" t="str">
        <f aca="false">IF(U427&lt;&gt;"Closed","",(N(L427)*N(M427)+N(N427)*N(O427)+Y427*Q427)/G427)</f>
        <v/>
      </c>
      <c r="AC427" s="24" t="str">
        <f aca="false">IF(U427&lt;&gt;"Closed","",IF($B427="Short",-1,1)*((N(M427)-H427)*N(L427)+(N(O427)-H427)*N(N427)+(Q427-H427)*Y427)-N(R427))</f>
        <v/>
      </c>
      <c r="AD427" s="25" t="str">
        <f aca="false">IF(OR(AC427="",N(Z427)=0),"",AC427/Z427)</f>
        <v/>
      </c>
      <c r="AE427" s="25" t="str">
        <f aca="false">IF(OR(S427="",N(Z427)=0),"",IF($B427="Short",-1,1)*(S427-H427)*G427/Z427)</f>
        <v/>
      </c>
      <c r="AF427" s="25" t="str">
        <f aca="false">IF(OR(T427="",N(Z427)=0),"",IF($B427="Short",-1,1)*(T427-H427)*G427/Z427)</f>
        <v/>
      </c>
      <c r="AG427" s="21" t="str">
        <f aca="false">IF(U427&lt;&gt;"Open","",Y427*MAX(0,IF($B427="Short",-1,1)*(H427-IF(K427="",I427,K427))))</f>
        <v/>
      </c>
      <c r="AH427" s="26" t="str">
        <f aca="false">IF(U427&lt;&gt;"Closed","",DATE(YEAR(P427),MONTH(P427),1))</f>
        <v/>
      </c>
      <c r="AI427" s="19" t="str">
        <f aca="false">IF(U427&lt;&gt;"Closed","",COUNTIFS($U$7:$U$506,"Closed",$P$7:$P$506,"&lt;"&amp;P427)+COUNTIFS($U$7:U427,"Closed",$P$7:P427,P427))</f>
        <v/>
      </c>
    </row>
    <row r="428" customFormat="false" ht="15" hidden="false" customHeight="false" outlineLevel="0" collapsed="false">
      <c r="A428" s="13"/>
      <c r="B428" s="48"/>
      <c r="C428" s="48"/>
      <c r="D428" s="48"/>
      <c r="E428" s="15"/>
      <c r="F428" s="15"/>
      <c r="G428" s="16"/>
      <c r="H428" s="17"/>
      <c r="I428" s="17"/>
      <c r="J428" s="17"/>
      <c r="K428" s="17"/>
      <c r="L428" s="16"/>
      <c r="M428" s="17"/>
      <c r="N428" s="16"/>
      <c r="O428" s="17"/>
      <c r="P428" s="15"/>
      <c r="Q428" s="17"/>
      <c r="R428" s="17"/>
      <c r="S428" s="17"/>
      <c r="T428" s="17"/>
      <c r="U428" s="18" t="str">
        <f aca="false">IF(A428="","",IF(N(G428)-N(L428)-N(N428)&lt;0,"Check shares",IF(AND(P428&lt;&gt;"",Q428&lt;&gt;""),"Closed","Open")))</f>
        <v/>
      </c>
      <c r="V428" s="19" t="str">
        <f aca="false">IF(OR(F428="",P428=""),"",NETWORKDAYS(F428,P428,Lists!$F$5:$F$40)-1)</f>
        <v/>
      </c>
      <c r="W428" s="18" t="str">
        <f aca="false">IF(V428="","",IF(V428=0,"Same day","Overnight"))</f>
        <v/>
      </c>
      <c r="X428" s="18" t="str">
        <f aca="false">IF(OR(E428="",F428=""),"",IF(AND(E428&gt;=F428,OR(P428="",E428&lt;=P428)),"Yes","No"))</f>
        <v/>
      </c>
      <c r="Y428" s="20" t="str">
        <f aca="false">IF(A428="","",N(G428)-N(L428)-N(N428))</f>
        <v/>
      </c>
      <c r="Z428" s="21" t="str">
        <f aca="false">IF(OR(G428="",H428="",I428=""),"",ABS(H428-I428)*G428)</f>
        <v/>
      </c>
      <c r="AA428" s="22" t="str">
        <f aca="false">IF(OR(J428="",N(Z428)=0),"",ABS(J428-H428)/ABS(H428-I428))</f>
        <v/>
      </c>
      <c r="AB428" s="23" t="str">
        <f aca="false">IF(U428&lt;&gt;"Closed","",(N(L428)*N(M428)+N(N428)*N(O428)+Y428*Q428)/G428)</f>
        <v/>
      </c>
      <c r="AC428" s="24" t="str">
        <f aca="false">IF(U428&lt;&gt;"Closed","",IF($B428="Short",-1,1)*((N(M428)-H428)*N(L428)+(N(O428)-H428)*N(N428)+(Q428-H428)*Y428)-N(R428))</f>
        <v/>
      </c>
      <c r="AD428" s="25" t="str">
        <f aca="false">IF(OR(AC428="",N(Z428)=0),"",AC428/Z428)</f>
        <v/>
      </c>
      <c r="AE428" s="25" t="str">
        <f aca="false">IF(OR(S428="",N(Z428)=0),"",IF($B428="Short",-1,1)*(S428-H428)*G428/Z428)</f>
        <v/>
      </c>
      <c r="AF428" s="25" t="str">
        <f aca="false">IF(OR(T428="",N(Z428)=0),"",IF($B428="Short",-1,1)*(T428-H428)*G428/Z428)</f>
        <v/>
      </c>
      <c r="AG428" s="21" t="str">
        <f aca="false">IF(U428&lt;&gt;"Open","",Y428*MAX(0,IF($B428="Short",-1,1)*(H428-IF(K428="",I428,K428))))</f>
        <v/>
      </c>
      <c r="AH428" s="26" t="str">
        <f aca="false">IF(U428&lt;&gt;"Closed","",DATE(YEAR(P428),MONTH(P428),1))</f>
        <v/>
      </c>
      <c r="AI428" s="19" t="str">
        <f aca="false">IF(U428&lt;&gt;"Closed","",COUNTIFS($U$7:$U$506,"Closed",$P$7:$P$506,"&lt;"&amp;P428)+COUNTIFS($U$7:U428,"Closed",$P$7:P428,P428))</f>
        <v/>
      </c>
    </row>
    <row r="429" customFormat="false" ht="15" hidden="false" customHeight="false" outlineLevel="0" collapsed="false">
      <c r="A429" s="13"/>
      <c r="B429" s="48"/>
      <c r="C429" s="48"/>
      <c r="D429" s="48"/>
      <c r="E429" s="15"/>
      <c r="F429" s="15"/>
      <c r="G429" s="16"/>
      <c r="H429" s="17"/>
      <c r="I429" s="17"/>
      <c r="J429" s="17"/>
      <c r="K429" s="17"/>
      <c r="L429" s="16"/>
      <c r="M429" s="17"/>
      <c r="N429" s="16"/>
      <c r="O429" s="17"/>
      <c r="P429" s="15"/>
      <c r="Q429" s="17"/>
      <c r="R429" s="17"/>
      <c r="S429" s="17"/>
      <c r="T429" s="17"/>
      <c r="U429" s="18" t="str">
        <f aca="false">IF(A429="","",IF(N(G429)-N(L429)-N(N429)&lt;0,"Check shares",IF(AND(P429&lt;&gt;"",Q429&lt;&gt;""),"Closed","Open")))</f>
        <v/>
      </c>
      <c r="V429" s="19" t="str">
        <f aca="false">IF(OR(F429="",P429=""),"",NETWORKDAYS(F429,P429,Lists!$F$5:$F$40)-1)</f>
        <v/>
      </c>
      <c r="W429" s="18" t="str">
        <f aca="false">IF(V429="","",IF(V429=0,"Same day","Overnight"))</f>
        <v/>
      </c>
      <c r="X429" s="18" t="str">
        <f aca="false">IF(OR(E429="",F429=""),"",IF(AND(E429&gt;=F429,OR(P429="",E429&lt;=P429)),"Yes","No"))</f>
        <v/>
      </c>
      <c r="Y429" s="20" t="str">
        <f aca="false">IF(A429="","",N(G429)-N(L429)-N(N429))</f>
        <v/>
      </c>
      <c r="Z429" s="21" t="str">
        <f aca="false">IF(OR(G429="",H429="",I429=""),"",ABS(H429-I429)*G429)</f>
        <v/>
      </c>
      <c r="AA429" s="22" t="str">
        <f aca="false">IF(OR(J429="",N(Z429)=0),"",ABS(J429-H429)/ABS(H429-I429))</f>
        <v/>
      </c>
      <c r="AB429" s="23" t="str">
        <f aca="false">IF(U429&lt;&gt;"Closed","",(N(L429)*N(M429)+N(N429)*N(O429)+Y429*Q429)/G429)</f>
        <v/>
      </c>
      <c r="AC429" s="24" t="str">
        <f aca="false">IF(U429&lt;&gt;"Closed","",IF($B429="Short",-1,1)*((N(M429)-H429)*N(L429)+(N(O429)-H429)*N(N429)+(Q429-H429)*Y429)-N(R429))</f>
        <v/>
      </c>
      <c r="AD429" s="25" t="str">
        <f aca="false">IF(OR(AC429="",N(Z429)=0),"",AC429/Z429)</f>
        <v/>
      </c>
      <c r="AE429" s="25" t="str">
        <f aca="false">IF(OR(S429="",N(Z429)=0),"",IF($B429="Short",-1,1)*(S429-H429)*G429/Z429)</f>
        <v/>
      </c>
      <c r="AF429" s="25" t="str">
        <f aca="false">IF(OR(T429="",N(Z429)=0),"",IF($B429="Short",-1,1)*(T429-H429)*G429/Z429)</f>
        <v/>
      </c>
      <c r="AG429" s="21" t="str">
        <f aca="false">IF(U429&lt;&gt;"Open","",Y429*MAX(0,IF($B429="Short",-1,1)*(H429-IF(K429="",I429,K429))))</f>
        <v/>
      </c>
      <c r="AH429" s="26" t="str">
        <f aca="false">IF(U429&lt;&gt;"Closed","",DATE(YEAR(P429),MONTH(P429),1))</f>
        <v/>
      </c>
      <c r="AI429" s="19" t="str">
        <f aca="false">IF(U429&lt;&gt;"Closed","",COUNTIFS($U$7:$U$506,"Closed",$P$7:$P$506,"&lt;"&amp;P429)+COUNTIFS($U$7:U429,"Closed",$P$7:P429,P429))</f>
        <v/>
      </c>
    </row>
    <row r="430" customFormat="false" ht="15" hidden="false" customHeight="false" outlineLevel="0" collapsed="false">
      <c r="A430" s="13"/>
      <c r="B430" s="48"/>
      <c r="C430" s="48"/>
      <c r="D430" s="48"/>
      <c r="E430" s="15"/>
      <c r="F430" s="15"/>
      <c r="G430" s="16"/>
      <c r="H430" s="17"/>
      <c r="I430" s="17"/>
      <c r="J430" s="17"/>
      <c r="K430" s="17"/>
      <c r="L430" s="16"/>
      <c r="M430" s="17"/>
      <c r="N430" s="16"/>
      <c r="O430" s="17"/>
      <c r="P430" s="15"/>
      <c r="Q430" s="17"/>
      <c r="R430" s="17"/>
      <c r="S430" s="17"/>
      <c r="T430" s="17"/>
      <c r="U430" s="18" t="str">
        <f aca="false">IF(A430="","",IF(N(G430)-N(L430)-N(N430)&lt;0,"Check shares",IF(AND(P430&lt;&gt;"",Q430&lt;&gt;""),"Closed","Open")))</f>
        <v/>
      </c>
      <c r="V430" s="19" t="str">
        <f aca="false">IF(OR(F430="",P430=""),"",NETWORKDAYS(F430,P430,Lists!$F$5:$F$40)-1)</f>
        <v/>
      </c>
      <c r="W430" s="18" t="str">
        <f aca="false">IF(V430="","",IF(V430=0,"Same day","Overnight"))</f>
        <v/>
      </c>
      <c r="X430" s="18" t="str">
        <f aca="false">IF(OR(E430="",F430=""),"",IF(AND(E430&gt;=F430,OR(P430="",E430&lt;=P430)),"Yes","No"))</f>
        <v/>
      </c>
      <c r="Y430" s="20" t="str">
        <f aca="false">IF(A430="","",N(G430)-N(L430)-N(N430))</f>
        <v/>
      </c>
      <c r="Z430" s="21" t="str">
        <f aca="false">IF(OR(G430="",H430="",I430=""),"",ABS(H430-I430)*G430)</f>
        <v/>
      </c>
      <c r="AA430" s="22" t="str">
        <f aca="false">IF(OR(J430="",N(Z430)=0),"",ABS(J430-H430)/ABS(H430-I430))</f>
        <v/>
      </c>
      <c r="AB430" s="23" t="str">
        <f aca="false">IF(U430&lt;&gt;"Closed","",(N(L430)*N(M430)+N(N430)*N(O430)+Y430*Q430)/G430)</f>
        <v/>
      </c>
      <c r="AC430" s="24" t="str">
        <f aca="false">IF(U430&lt;&gt;"Closed","",IF($B430="Short",-1,1)*((N(M430)-H430)*N(L430)+(N(O430)-H430)*N(N430)+(Q430-H430)*Y430)-N(R430))</f>
        <v/>
      </c>
      <c r="AD430" s="25" t="str">
        <f aca="false">IF(OR(AC430="",N(Z430)=0),"",AC430/Z430)</f>
        <v/>
      </c>
      <c r="AE430" s="25" t="str">
        <f aca="false">IF(OR(S430="",N(Z430)=0),"",IF($B430="Short",-1,1)*(S430-H430)*G430/Z430)</f>
        <v/>
      </c>
      <c r="AF430" s="25" t="str">
        <f aca="false">IF(OR(T430="",N(Z430)=0),"",IF($B430="Short",-1,1)*(T430-H430)*G430/Z430)</f>
        <v/>
      </c>
      <c r="AG430" s="21" t="str">
        <f aca="false">IF(U430&lt;&gt;"Open","",Y430*MAX(0,IF($B430="Short",-1,1)*(H430-IF(K430="",I430,K430))))</f>
        <v/>
      </c>
      <c r="AH430" s="26" t="str">
        <f aca="false">IF(U430&lt;&gt;"Closed","",DATE(YEAR(P430),MONTH(P430),1))</f>
        <v/>
      </c>
      <c r="AI430" s="19" t="str">
        <f aca="false">IF(U430&lt;&gt;"Closed","",COUNTIFS($U$7:$U$506,"Closed",$P$7:$P$506,"&lt;"&amp;P430)+COUNTIFS($U$7:U430,"Closed",$P$7:P430,P430))</f>
        <v/>
      </c>
    </row>
    <row r="431" customFormat="false" ht="15" hidden="false" customHeight="false" outlineLevel="0" collapsed="false">
      <c r="A431" s="13"/>
      <c r="B431" s="48"/>
      <c r="C431" s="48"/>
      <c r="D431" s="48"/>
      <c r="E431" s="15"/>
      <c r="F431" s="15"/>
      <c r="G431" s="16"/>
      <c r="H431" s="17"/>
      <c r="I431" s="17"/>
      <c r="J431" s="17"/>
      <c r="K431" s="17"/>
      <c r="L431" s="16"/>
      <c r="M431" s="17"/>
      <c r="N431" s="16"/>
      <c r="O431" s="17"/>
      <c r="P431" s="15"/>
      <c r="Q431" s="17"/>
      <c r="R431" s="17"/>
      <c r="S431" s="17"/>
      <c r="T431" s="17"/>
      <c r="U431" s="18" t="str">
        <f aca="false">IF(A431="","",IF(N(G431)-N(L431)-N(N431)&lt;0,"Check shares",IF(AND(P431&lt;&gt;"",Q431&lt;&gt;""),"Closed","Open")))</f>
        <v/>
      </c>
      <c r="V431" s="19" t="str">
        <f aca="false">IF(OR(F431="",P431=""),"",NETWORKDAYS(F431,P431,Lists!$F$5:$F$40)-1)</f>
        <v/>
      </c>
      <c r="W431" s="18" t="str">
        <f aca="false">IF(V431="","",IF(V431=0,"Same day","Overnight"))</f>
        <v/>
      </c>
      <c r="X431" s="18" t="str">
        <f aca="false">IF(OR(E431="",F431=""),"",IF(AND(E431&gt;=F431,OR(P431="",E431&lt;=P431)),"Yes","No"))</f>
        <v/>
      </c>
      <c r="Y431" s="20" t="str">
        <f aca="false">IF(A431="","",N(G431)-N(L431)-N(N431))</f>
        <v/>
      </c>
      <c r="Z431" s="21" t="str">
        <f aca="false">IF(OR(G431="",H431="",I431=""),"",ABS(H431-I431)*G431)</f>
        <v/>
      </c>
      <c r="AA431" s="22" t="str">
        <f aca="false">IF(OR(J431="",N(Z431)=0),"",ABS(J431-H431)/ABS(H431-I431))</f>
        <v/>
      </c>
      <c r="AB431" s="23" t="str">
        <f aca="false">IF(U431&lt;&gt;"Closed","",(N(L431)*N(M431)+N(N431)*N(O431)+Y431*Q431)/G431)</f>
        <v/>
      </c>
      <c r="AC431" s="24" t="str">
        <f aca="false">IF(U431&lt;&gt;"Closed","",IF($B431="Short",-1,1)*((N(M431)-H431)*N(L431)+(N(O431)-H431)*N(N431)+(Q431-H431)*Y431)-N(R431))</f>
        <v/>
      </c>
      <c r="AD431" s="25" t="str">
        <f aca="false">IF(OR(AC431="",N(Z431)=0),"",AC431/Z431)</f>
        <v/>
      </c>
      <c r="AE431" s="25" t="str">
        <f aca="false">IF(OR(S431="",N(Z431)=0),"",IF($B431="Short",-1,1)*(S431-H431)*G431/Z431)</f>
        <v/>
      </c>
      <c r="AF431" s="25" t="str">
        <f aca="false">IF(OR(T431="",N(Z431)=0),"",IF($B431="Short",-1,1)*(T431-H431)*G431/Z431)</f>
        <v/>
      </c>
      <c r="AG431" s="21" t="str">
        <f aca="false">IF(U431&lt;&gt;"Open","",Y431*MAX(0,IF($B431="Short",-1,1)*(H431-IF(K431="",I431,K431))))</f>
        <v/>
      </c>
      <c r="AH431" s="26" t="str">
        <f aca="false">IF(U431&lt;&gt;"Closed","",DATE(YEAR(P431),MONTH(P431),1))</f>
        <v/>
      </c>
      <c r="AI431" s="19" t="str">
        <f aca="false">IF(U431&lt;&gt;"Closed","",COUNTIFS($U$7:$U$506,"Closed",$P$7:$P$506,"&lt;"&amp;P431)+COUNTIFS($U$7:U431,"Closed",$P$7:P431,P431))</f>
        <v/>
      </c>
    </row>
    <row r="432" customFormat="false" ht="15" hidden="false" customHeight="false" outlineLevel="0" collapsed="false">
      <c r="A432" s="13"/>
      <c r="B432" s="48"/>
      <c r="C432" s="48"/>
      <c r="D432" s="48"/>
      <c r="E432" s="15"/>
      <c r="F432" s="15"/>
      <c r="G432" s="16"/>
      <c r="H432" s="17"/>
      <c r="I432" s="17"/>
      <c r="J432" s="17"/>
      <c r="K432" s="17"/>
      <c r="L432" s="16"/>
      <c r="M432" s="17"/>
      <c r="N432" s="16"/>
      <c r="O432" s="17"/>
      <c r="P432" s="15"/>
      <c r="Q432" s="17"/>
      <c r="R432" s="17"/>
      <c r="S432" s="17"/>
      <c r="T432" s="17"/>
      <c r="U432" s="18" t="str">
        <f aca="false">IF(A432="","",IF(N(G432)-N(L432)-N(N432)&lt;0,"Check shares",IF(AND(P432&lt;&gt;"",Q432&lt;&gt;""),"Closed","Open")))</f>
        <v/>
      </c>
      <c r="V432" s="19" t="str">
        <f aca="false">IF(OR(F432="",P432=""),"",NETWORKDAYS(F432,P432,Lists!$F$5:$F$40)-1)</f>
        <v/>
      </c>
      <c r="W432" s="18" t="str">
        <f aca="false">IF(V432="","",IF(V432=0,"Same day","Overnight"))</f>
        <v/>
      </c>
      <c r="X432" s="18" t="str">
        <f aca="false">IF(OR(E432="",F432=""),"",IF(AND(E432&gt;=F432,OR(P432="",E432&lt;=P432)),"Yes","No"))</f>
        <v/>
      </c>
      <c r="Y432" s="20" t="str">
        <f aca="false">IF(A432="","",N(G432)-N(L432)-N(N432))</f>
        <v/>
      </c>
      <c r="Z432" s="21" t="str">
        <f aca="false">IF(OR(G432="",H432="",I432=""),"",ABS(H432-I432)*G432)</f>
        <v/>
      </c>
      <c r="AA432" s="22" t="str">
        <f aca="false">IF(OR(J432="",N(Z432)=0),"",ABS(J432-H432)/ABS(H432-I432))</f>
        <v/>
      </c>
      <c r="AB432" s="23" t="str">
        <f aca="false">IF(U432&lt;&gt;"Closed","",(N(L432)*N(M432)+N(N432)*N(O432)+Y432*Q432)/G432)</f>
        <v/>
      </c>
      <c r="AC432" s="24" t="str">
        <f aca="false">IF(U432&lt;&gt;"Closed","",IF($B432="Short",-1,1)*((N(M432)-H432)*N(L432)+(N(O432)-H432)*N(N432)+(Q432-H432)*Y432)-N(R432))</f>
        <v/>
      </c>
      <c r="AD432" s="25" t="str">
        <f aca="false">IF(OR(AC432="",N(Z432)=0),"",AC432/Z432)</f>
        <v/>
      </c>
      <c r="AE432" s="25" t="str">
        <f aca="false">IF(OR(S432="",N(Z432)=0),"",IF($B432="Short",-1,1)*(S432-H432)*G432/Z432)</f>
        <v/>
      </c>
      <c r="AF432" s="25" t="str">
        <f aca="false">IF(OR(T432="",N(Z432)=0),"",IF($B432="Short",-1,1)*(T432-H432)*G432/Z432)</f>
        <v/>
      </c>
      <c r="AG432" s="21" t="str">
        <f aca="false">IF(U432&lt;&gt;"Open","",Y432*MAX(0,IF($B432="Short",-1,1)*(H432-IF(K432="",I432,K432))))</f>
        <v/>
      </c>
      <c r="AH432" s="26" t="str">
        <f aca="false">IF(U432&lt;&gt;"Closed","",DATE(YEAR(P432),MONTH(P432),1))</f>
        <v/>
      </c>
      <c r="AI432" s="19" t="str">
        <f aca="false">IF(U432&lt;&gt;"Closed","",COUNTIFS($U$7:$U$506,"Closed",$P$7:$P$506,"&lt;"&amp;P432)+COUNTIFS($U$7:U432,"Closed",$P$7:P432,P432))</f>
        <v/>
      </c>
    </row>
    <row r="433" customFormat="false" ht="15" hidden="false" customHeight="false" outlineLevel="0" collapsed="false">
      <c r="A433" s="13"/>
      <c r="B433" s="48"/>
      <c r="C433" s="48"/>
      <c r="D433" s="48"/>
      <c r="E433" s="15"/>
      <c r="F433" s="15"/>
      <c r="G433" s="16"/>
      <c r="H433" s="17"/>
      <c r="I433" s="17"/>
      <c r="J433" s="17"/>
      <c r="K433" s="17"/>
      <c r="L433" s="16"/>
      <c r="M433" s="17"/>
      <c r="N433" s="16"/>
      <c r="O433" s="17"/>
      <c r="P433" s="15"/>
      <c r="Q433" s="17"/>
      <c r="R433" s="17"/>
      <c r="S433" s="17"/>
      <c r="T433" s="17"/>
      <c r="U433" s="18" t="str">
        <f aca="false">IF(A433="","",IF(N(G433)-N(L433)-N(N433)&lt;0,"Check shares",IF(AND(P433&lt;&gt;"",Q433&lt;&gt;""),"Closed","Open")))</f>
        <v/>
      </c>
      <c r="V433" s="19" t="str">
        <f aca="false">IF(OR(F433="",P433=""),"",NETWORKDAYS(F433,P433,Lists!$F$5:$F$40)-1)</f>
        <v/>
      </c>
      <c r="W433" s="18" t="str">
        <f aca="false">IF(V433="","",IF(V433=0,"Same day","Overnight"))</f>
        <v/>
      </c>
      <c r="X433" s="18" t="str">
        <f aca="false">IF(OR(E433="",F433=""),"",IF(AND(E433&gt;=F433,OR(P433="",E433&lt;=P433)),"Yes","No"))</f>
        <v/>
      </c>
      <c r="Y433" s="20" t="str">
        <f aca="false">IF(A433="","",N(G433)-N(L433)-N(N433))</f>
        <v/>
      </c>
      <c r="Z433" s="21" t="str">
        <f aca="false">IF(OR(G433="",H433="",I433=""),"",ABS(H433-I433)*G433)</f>
        <v/>
      </c>
      <c r="AA433" s="22" t="str">
        <f aca="false">IF(OR(J433="",N(Z433)=0),"",ABS(J433-H433)/ABS(H433-I433))</f>
        <v/>
      </c>
      <c r="AB433" s="23" t="str">
        <f aca="false">IF(U433&lt;&gt;"Closed","",(N(L433)*N(M433)+N(N433)*N(O433)+Y433*Q433)/G433)</f>
        <v/>
      </c>
      <c r="AC433" s="24" t="str">
        <f aca="false">IF(U433&lt;&gt;"Closed","",IF($B433="Short",-1,1)*((N(M433)-H433)*N(L433)+(N(O433)-H433)*N(N433)+(Q433-H433)*Y433)-N(R433))</f>
        <v/>
      </c>
      <c r="AD433" s="25" t="str">
        <f aca="false">IF(OR(AC433="",N(Z433)=0),"",AC433/Z433)</f>
        <v/>
      </c>
      <c r="AE433" s="25" t="str">
        <f aca="false">IF(OR(S433="",N(Z433)=0),"",IF($B433="Short",-1,1)*(S433-H433)*G433/Z433)</f>
        <v/>
      </c>
      <c r="AF433" s="25" t="str">
        <f aca="false">IF(OR(T433="",N(Z433)=0),"",IF($B433="Short",-1,1)*(T433-H433)*G433/Z433)</f>
        <v/>
      </c>
      <c r="AG433" s="21" t="str">
        <f aca="false">IF(U433&lt;&gt;"Open","",Y433*MAX(0,IF($B433="Short",-1,1)*(H433-IF(K433="",I433,K433))))</f>
        <v/>
      </c>
      <c r="AH433" s="26" t="str">
        <f aca="false">IF(U433&lt;&gt;"Closed","",DATE(YEAR(P433),MONTH(P433),1))</f>
        <v/>
      </c>
      <c r="AI433" s="19" t="str">
        <f aca="false">IF(U433&lt;&gt;"Closed","",COUNTIFS($U$7:$U$506,"Closed",$P$7:$P$506,"&lt;"&amp;P433)+COUNTIFS($U$7:U433,"Closed",$P$7:P433,P433))</f>
        <v/>
      </c>
    </row>
    <row r="434" customFormat="false" ht="15" hidden="false" customHeight="false" outlineLevel="0" collapsed="false">
      <c r="A434" s="13"/>
      <c r="B434" s="48"/>
      <c r="C434" s="48"/>
      <c r="D434" s="48"/>
      <c r="E434" s="15"/>
      <c r="F434" s="15"/>
      <c r="G434" s="16"/>
      <c r="H434" s="17"/>
      <c r="I434" s="17"/>
      <c r="J434" s="17"/>
      <c r="K434" s="17"/>
      <c r="L434" s="16"/>
      <c r="M434" s="17"/>
      <c r="N434" s="16"/>
      <c r="O434" s="17"/>
      <c r="P434" s="15"/>
      <c r="Q434" s="17"/>
      <c r="R434" s="17"/>
      <c r="S434" s="17"/>
      <c r="T434" s="17"/>
      <c r="U434" s="18" t="str">
        <f aca="false">IF(A434="","",IF(N(G434)-N(L434)-N(N434)&lt;0,"Check shares",IF(AND(P434&lt;&gt;"",Q434&lt;&gt;""),"Closed","Open")))</f>
        <v/>
      </c>
      <c r="V434" s="19" t="str">
        <f aca="false">IF(OR(F434="",P434=""),"",NETWORKDAYS(F434,P434,Lists!$F$5:$F$40)-1)</f>
        <v/>
      </c>
      <c r="W434" s="18" t="str">
        <f aca="false">IF(V434="","",IF(V434=0,"Same day","Overnight"))</f>
        <v/>
      </c>
      <c r="X434" s="18" t="str">
        <f aca="false">IF(OR(E434="",F434=""),"",IF(AND(E434&gt;=F434,OR(P434="",E434&lt;=P434)),"Yes","No"))</f>
        <v/>
      </c>
      <c r="Y434" s="20" t="str">
        <f aca="false">IF(A434="","",N(G434)-N(L434)-N(N434))</f>
        <v/>
      </c>
      <c r="Z434" s="21" t="str">
        <f aca="false">IF(OR(G434="",H434="",I434=""),"",ABS(H434-I434)*G434)</f>
        <v/>
      </c>
      <c r="AA434" s="22" t="str">
        <f aca="false">IF(OR(J434="",N(Z434)=0),"",ABS(J434-H434)/ABS(H434-I434))</f>
        <v/>
      </c>
      <c r="AB434" s="23" t="str">
        <f aca="false">IF(U434&lt;&gt;"Closed","",(N(L434)*N(M434)+N(N434)*N(O434)+Y434*Q434)/G434)</f>
        <v/>
      </c>
      <c r="AC434" s="24" t="str">
        <f aca="false">IF(U434&lt;&gt;"Closed","",IF($B434="Short",-1,1)*((N(M434)-H434)*N(L434)+(N(O434)-H434)*N(N434)+(Q434-H434)*Y434)-N(R434))</f>
        <v/>
      </c>
      <c r="AD434" s="25" t="str">
        <f aca="false">IF(OR(AC434="",N(Z434)=0),"",AC434/Z434)</f>
        <v/>
      </c>
      <c r="AE434" s="25" t="str">
        <f aca="false">IF(OR(S434="",N(Z434)=0),"",IF($B434="Short",-1,1)*(S434-H434)*G434/Z434)</f>
        <v/>
      </c>
      <c r="AF434" s="25" t="str">
        <f aca="false">IF(OR(T434="",N(Z434)=0),"",IF($B434="Short",-1,1)*(T434-H434)*G434/Z434)</f>
        <v/>
      </c>
      <c r="AG434" s="21" t="str">
        <f aca="false">IF(U434&lt;&gt;"Open","",Y434*MAX(0,IF($B434="Short",-1,1)*(H434-IF(K434="",I434,K434))))</f>
        <v/>
      </c>
      <c r="AH434" s="26" t="str">
        <f aca="false">IF(U434&lt;&gt;"Closed","",DATE(YEAR(P434),MONTH(P434),1))</f>
        <v/>
      </c>
      <c r="AI434" s="19" t="str">
        <f aca="false">IF(U434&lt;&gt;"Closed","",COUNTIFS($U$7:$U$506,"Closed",$P$7:$P$506,"&lt;"&amp;P434)+COUNTIFS($U$7:U434,"Closed",$P$7:P434,P434))</f>
        <v/>
      </c>
    </row>
    <row r="435" customFormat="false" ht="15" hidden="false" customHeight="false" outlineLevel="0" collapsed="false">
      <c r="A435" s="13"/>
      <c r="B435" s="48"/>
      <c r="C435" s="48"/>
      <c r="D435" s="48"/>
      <c r="E435" s="15"/>
      <c r="F435" s="15"/>
      <c r="G435" s="16"/>
      <c r="H435" s="17"/>
      <c r="I435" s="17"/>
      <c r="J435" s="17"/>
      <c r="K435" s="17"/>
      <c r="L435" s="16"/>
      <c r="M435" s="17"/>
      <c r="N435" s="16"/>
      <c r="O435" s="17"/>
      <c r="P435" s="15"/>
      <c r="Q435" s="17"/>
      <c r="R435" s="17"/>
      <c r="S435" s="17"/>
      <c r="T435" s="17"/>
      <c r="U435" s="18" t="str">
        <f aca="false">IF(A435="","",IF(N(G435)-N(L435)-N(N435)&lt;0,"Check shares",IF(AND(P435&lt;&gt;"",Q435&lt;&gt;""),"Closed","Open")))</f>
        <v/>
      </c>
      <c r="V435" s="19" t="str">
        <f aca="false">IF(OR(F435="",P435=""),"",NETWORKDAYS(F435,P435,Lists!$F$5:$F$40)-1)</f>
        <v/>
      </c>
      <c r="W435" s="18" t="str">
        <f aca="false">IF(V435="","",IF(V435=0,"Same day","Overnight"))</f>
        <v/>
      </c>
      <c r="X435" s="18" t="str">
        <f aca="false">IF(OR(E435="",F435=""),"",IF(AND(E435&gt;=F435,OR(P435="",E435&lt;=P435)),"Yes","No"))</f>
        <v/>
      </c>
      <c r="Y435" s="20" t="str">
        <f aca="false">IF(A435="","",N(G435)-N(L435)-N(N435))</f>
        <v/>
      </c>
      <c r="Z435" s="21" t="str">
        <f aca="false">IF(OR(G435="",H435="",I435=""),"",ABS(H435-I435)*G435)</f>
        <v/>
      </c>
      <c r="AA435" s="22" t="str">
        <f aca="false">IF(OR(J435="",N(Z435)=0),"",ABS(J435-H435)/ABS(H435-I435))</f>
        <v/>
      </c>
      <c r="AB435" s="23" t="str">
        <f aca="false">IF(U435&lt;&gt;"Closed","",(N(L435)*N(M435)+N(N435)*N(O435)+Y435*Q435)/G435)</f>
        <v/>
      </c>
      <c r="AC435" s="24" t="str">
        <f aca="false">IF(U435&lt;&gt;"Closed","",IF($B435="Short",-1,1)*((N(M435)-H435)*N(L435)+(N(O435)-H435)*N(N435)+(Q435-H435)*Y435)-N(R435))</f>
        <v/>
      </c>
      <c r="AD435" s="25" t="str">
        <f aca="false">IF(OR(AC435="",N(Z435)=0),"",AC435/Z435)</f>
        <v/>
      </c>
      <c r="AE435" s="25" t="str">
        <f aca="false">IF(OR(S435="",N(Z435)=0),"",IF($B435="Short",-1,1)*(S435-H435)*G435/Z435)</f>
        <v/>
      </c>
      <c r="AF435" s="25" t="str">
        <f aca="false">IF(OR(T435="",N(Z435)=0),"",IF($B435="Short",-1,1)*(T435-H435)*G435/Z435)</f>
        <v/>
      </c>
      <c r="AG435" s="21" t="str">
        <f aca="false">IF(U435&lt;&gt;"Open","",Y435*MAX(0,IF($B435="Short",-1,1)*(H435-IF(K435="",I435,K435))))</f>
        <v/>
      </c>
      <c r="AH435" s="26" t="str">
        <f aca="false">IF(U435&lt;&gt;"Closed","",DATE(YEAR(P435),MONTH(P435),1))</f>
        <v/>
      </c>
      <c r="AI435" s="19" t="str">
        <f aca="false">IF(U435&lt;&gt;"Closed","",COUNTIFS($U$7:$U$506,"Closed",$P$7:$P$506,"&lt;"&amp;P435)+COUNTIFS($U$7:U435,"Closed",$P$7:P435,P435))</f>
        <v/>
      </c>
    </row>
    <row r="436" customFormat="false" ht="15" hidden="false" customHeight="false" outlineLevel="0" collapsed="false">
      <c r="A436" s="13"/>
      <c r="B436" s="48"/>
      <c r="C436" s="48"/>
      <c r="D436" s="48"/>
      <c r="E436" s="15"/>
      <c r="F436" s="15"/>
      <c r="G436" s="16"/>
      <c r="H436" s="17"/>
      <c r="I436" s="17"/>
      <c r="J436" s="17"/>
      <c r="K436" s="17"/>
      <c r="L436" s="16"/>
      <c r="M436" s="17"/>
      <c r="N436" s="16"/>
      <c r="O436" s="17"/>
      <c r="P436" s="15"/>
      <c r="Q436" s="17"/>
      <c r="R436" s="17"/>
      <c r="S436" s="17"/>
      <c r="T436" s="17"/>
      <c r="U436" s="18" t="str">
        <f aca="false">IF(A436="","",IF(N(G436)-N(L436)-N(N436)&lt;0,"Check shares",IF(AND(P436&lt;&gt;"",Q436&lt;&gt;""),"Closed","Open")))</f>
        <v/>
      </c>
      <c r="V436" s="19" t="str">
        <f aca="false">IF(OR(F436="",P436=""),"",NETWORKDAYS(F436,P436,Lists!$F$5:$F$40)-1)</f>
        <v/>
      </c>
      <c r="W436" s="18" t="str">
        <f aca="false">IF(V436="","",IF(V436=0,"Same day","Overnight"))</f>
        <v/>
      </c>
      <c r="X436" s="18" t="str">
        <f aca="false">IF(OR(E436="",F436=""),"",IF(AND(E436&gt;=F436,OR(P436="",E436&lt;=P436)),"Yes","No"))</f>
        <v/>
      </c>
      <c r="Y436" s="20" t="str">
        <f aca="false">IF(A436="","",N(G436)-N(L436)-N(N436))</f>
        <v/>
      </c>
      <c r="Z436" s="21" t="str">
        <f aca="false">IF(OR(G436="",H436="",I436=""),"",ABS(H436-I436)*G436)</f>
        <v/>
      </c>
      <c r="AA436" s="22" t="str">
        <f aca="false">IF(OR(J436="",N(Z436)=0),"",ABS(J436-H436)/ABS(H436-I436))</f>
        <v/>
      </c>
      <c r="AB436" s="23" t="str">
        <f aca="false">IF(U436&lt;&gt;"Closed","",(N(L436)*N(M436)+N(N436)*N(O436)+Y436*Q436)/G436)</f>
        <v/>
      </c>
      <c r="AC436" s="24" t="str">
        <f aca="false">IF(U436&lt;&gt;"Closed","",IF($B436="Short",-1,1)*((N(M436)-H436)*N(L436)+(N(O436)-H436)*N(N436)+(Q436-H436)*Y436)-N(R436))</f>
        <v/>
      </c>
      <c r="AD436" s="25" t="str">
        <f aca="false">IF(OR(AC436="",N(Z436)=0),"",AC436/Z436)</f>
        <v/>
      </c>
      <c r="AE436" s="25" t="str">
        <f aca="false">IF(OR(S436="",N(Z436)=0),"",IF($B436="Short",-1,1)*(S436-H436)*G436/Z436)</f>
        <v/>
      </c>
      <c r="AF436" s="25" t="str">
        <f aca="false">IF(OR(T436="",N(Z436)=0),"",IF($B436="Short",-1,1)*(T436-H436)*G436/Z436)</f>
        <v/>
      </c>
      <c r="AG436" s="21" t="str">
        <f aca="false">IF(U436&lt;&gt;"Open","",Y436*MAX(0,IF($B436="Short",-1,1)*(H436-IF(K436="",I436,K436))))</f>
        <v/>
      </c>
      <c r="AH436" s="26" t="str">
        <f aca="false">IF(U436&lt;&gt;"Closed","",DATE(YEAR(P436),MONTH(P436),1))</f>
        <v/>
      </c>
      <c r="AI436" s="19" t="str">
        <f aca="false">IF(U436&lt;&gt;"Closed","",COUNTIFS($U$7:$U$506,"Closed",$P$7:$P$506,"&lt;"&amp;P436)+COUNTIFS($U$7:U436,"Closed",$P$7:P436,P436))</f>
        <v/>
      </c>
    </row>
    <row r="437" customFormat="false" ht="15" hidden="false" customHeight="false" outlineLevel="0" collapsed="false">
      <c r="A437" s="13"/>
      <c r="B437" s="48"/>
      <c r="C437" s="48"/>
      <c r="D437" s="48"/>
      <c r="E437" s="15"/>
      <c r="F437" s="15"/>
      <c r="G437" s="16"/>
      <c r="H437" s="17"/>
      <c r="I437" s="17"/>
      <c r="J437" s="17"/>
      <c r="K437" s="17"/>
      <c r="L437" s="16"/>
      <c r="M437" s="17"/>
      <c r="N437" s="16"/>
      <c r="O437" s="17"/>
      <c r="P437" s="15"/>
      <c r="Q437" s="17"/>
      <c r="R437" s="17"/>
      <c r="S437" s="17"/>
      <c r="T437" s="17"/>
      <c r="U437" s="18" t="str">
        <f aca="false">IF(A437="","",IF(N(G437)-N(L437)-N(N437)&lt;0,"Check shares",IF(AND(P437&lt;&gt;"",Q437&lt;&gt;""),"Closed","Open")))</f>
        <v/>
      </c>
      <c r="V437" s="19" t="str">
        <f aca="false">IF(OR(F437="",P437=""),"",NETWORKDAYS(F437,P437,Lists!$F$5:$F$40)-1)</f>
        <v/>
      </c>
      <c r="W437" s="18" t="str">
        <f aca="false">IF(V437="","",IF(V437=0,"Same day","Overnight"))</f>
        <v/>
      </c>
      <c r="X437" s="18" t="str">
        <f aca="false">IF(OR(E437="",F437=""),"",IF(AND(E437&gt;=F437,OR(P437="",E437&lt;=P437)),"Yes","No"))</f>
        <v/>
      </c>
      <c r="Y437" s="20" t="str">
        <f aca="false">IF(A437="","",N(G437)-N(L437)-N(N437))</f>
        <v/>
      </c>
      <c r="Z437" s="21" t="str">
        <f aca="false">IF(OR(G437="",H437="",I437=""),"",ABS(H437-I437)*G437)</f>
        <v/>
      </c>
      <c r="AA437" s="22" t="str">
        <f aca="false">IF(OR(J437="",N(Z437)=0),"",ABS(J437-H437)/ABS(H437-I437))</f>
        <v/>
      </c>
      <c r="AB437" s="23" t="str">
        <f aca="false">IF(U437&lt;&gt;"Closed","",(N(L437)*N(M437)+N(N437)*N(O437)+Y437*Q437)/G437)</f>
        <v/>
      </c>
      <c r="AC437" s="24" t="str">
        <f aca="false">IF(U437&lt;&gt;"Closed","",IF($B437="Short",-1,1)*((N(M437)-H437)*N(L437)+(N(O437)-H437)*N(N437)+(Q437-H437)*Y437)-N(R437))</f>
        <v/>
      </c>
      <c r="AD437" s="25" t="str">
        <f aca="false">IF(OR(AC437="",N(Z437)=0),"",AC437/Z437)</f>
        <v/>
      </c>
      <c r="AE437" s="25" t="str">
        <f aca="false">IF(OR(S437="",N(Z437)=0),"",IF($B437="Short",-1,1)*(S437-H437)*G437/Z437)</f>
        <v/>
      </c>
      <c r="AF437" s="25" t="str">
        <f aca="false">IF(OR(T437="",N(Z437)=0),"",IF($B437="Short",-1,1)*(T437-H437)*G437/Z437)</f>
        <v/>
      </c>
      <c r="AG437" s="21" t="str">
        <f aca="false">IF(U437&lt;&gt;"Open","",Y437*MAX(0,IF($B437="Short",-1,1)*(H437-IF(K437="",I437,K437))))</f>
        <v/>
      </c>
      <c r="AH437" s="26" t="str">
        <f aca="false">IF(U437&lt;&gt;"Closed","",DATE(YEAR(P437),MONTH(P437),1))</f>
        <v/>
      </c>
      <c r="AI437" s="19" t="str">
        <f aca="false">IF(U437&lt;&gt;"Closed","",COUNTIFS($U$7:$U$506,"Closed",$P$7:$P$506,"&lt;"&amp;P437)+COUNTIFS($U$7:U437,"Closed",$P$7:P437,P437))</f>
        <v/>
      </c>
    </row>
    <row r="438" customFormat="false" ht="15" hidden="false" customHeight="false" outlineLevel="0" collapsed="false">
      <c r="A438" s="13"/>
      <c r="B438" s="48"/>
      <c r="C438" s="48"/>
      <c r="D438" s="48"/>
      <c r="E438" s="15"/>
      <c r="F438" s="15"/>
      <c r="G438" s="16"/>
      <c r="H438" s="17"/>
      <c r="I438" s="17"/>
      <c r="J438" s="17"/>
      <c r="K438" s="17"/>
      <c r="L438" s="16"/>
      <c r="M438" s="17"/>
      <c r="N438" s="16"/>
      <c r="O438" s="17"/>
      <c r="P438" s="15"/>
      <c r="Q438" s="17"/>
      <c r="R438" s="17"/>
      <c r="S438" s="17"/>
      <c r="T438" s="17"/>
      <c r="U438" s="18" t="str">
        <f aca="false">IF(A438="","",IF(N(G438)-N(L438)-N(N438)&lt;0,"Check shares",IF(AND(P438&lt;&gt;"",Q438&lt;&gt;""),"Closed","Open")))</f>
        <v/>
      </c>
      <c r="V438" s="19" t="str">
        <f aca="false">IF(OR(F438="",P438=""),"",NETWORKDAYS(F438,P438,Lists!$F$5:$F$40)-1)</f>
        <v/>
      </c>
      <c r="W438" s="18" t="str">
        <f aca="false">IF(V438="","",IF(V438=0,"Same day","Overnight"))</f>
        <v/>
      </c>
      <c r="X438" s="18" t="str">
        <f aca="false">IF(OR(E438="",F438=""),"",IF(AND(E438&gt;=F438,OR(P438="",E438&lt;=P438)),"Yes","No"))</f>
        <v/>
      </c>
      <c r="Y438" s="20" t="str">
        <f aca="false">IF(A438="","",N(G438)-N(L438)-N(N438))</f>
        <v/>
      </c>
      <c r="Z438" s="21" t="str">
        <f aca="false">IF(OR(G438="",H438="",I438=""),"",ABS(H438-I438)*G438)</f>
        <v/>
      </c>
      <c r="AA438" s="22" t="str">
        <f aca="false">IF(OR(J438="",N(Z438)=0),"",ABS(J438-H438)/ABS(H438-I438))</f>
        <v/>
      </c>
      <c r="AB438" s="23" t="str">
        <f aca="false">IF(U438&lt;&gt;"Closed","",(N(L438)*N(M438)+N(N438)*N(O438)+Y438*Q438)/G438)</f>
        <v/>
      </c>
      <c r="AC438" s="24" t="str">
        <f aca="false">IF(U438&lt;&gt;"Closed","",IF($B438="Short",-1,1)*((N(M438)-H438)*N(L438)+(N(O438)-H438)*N(N438)+(Q438-H438)*Y438)-N(R438))</f>
        <v/>
      </c>
      <c r="AD438" s="25" t="str">
        <f aca="false">IF(OR(AC438="",N(Z438)=0),"",AC438/Z438)</f>
        <v/>
      </c>
      <c r="AE438" s="25" t="str">
        <f aca="false">IF(OR(S438="",N(Z438)=0),"",IF($B438="Short",-1,1)*(S438-H438)*G438/Z438)</f>
        <v/>
      </c>
      <c r="AF438" s="25" t="str">
        <f aca="false">IF(OR(T438="",N(Z438)=0),"",IF($B438="Short",-1,1)*(T438-H438)*G438/Z438)</f>
        <v/>
      </c>
      <c r="AG438" s="21" t="str">
        <f aca="false">IF(U438&lt;&gt;"Open","",Y438*MAX(0,IF($B438="Short",-1,1)*(H438-IF(K438="",I438,K438))))</f>
        <v/>
      </c>
      <c r="AH438" s="26" t="str">
        <f aca="false">IF(U438&lt;&gt;"Closed","",DATE(YEAR(P438),MONTH(P438),1))</f>
        <v/>
      </c>
      <c r="AI438" s="19" t="str">
        <f aca="false">IF(U438&lt;&gt;"Closed","",COUNTIFS($U$7:$U$506,"Closed",$P$7:$P$506,"&lt;"&amp;P438)+COUNTIFS($U$7:U438,"Closed",$P$7:P438,P438))</f>
        <v/>
      </c>
    </row>
    <row r="439" customFormat="false" ht="15" hidden="false" customHeight="false" outlineLevel="0" collapsed="false">
      <c r="A439" s="13"/>
      <c r="B439" s="48"/>
      <c r="C439" s="48"/>
      <c r="D439" s="48"/>
      <c r="E439" s="15"/>
      <c r="F439" s="15"/>
      <c r="G439" s="16"/>
      <c r="H439" s="17"/>
      <c r="I439" s="17"/>
      <c r="J439" s="17"/>
      <c r="K439" s="17"/>
      <c r="L439" s="16"/>
      <c r="M439" s="17"/>
      <c r="N439" s="16"/>
      <c r="O439" s="17"/>
      <c r="P439" s="15"/>
      <c r="Q439" s="17"/>
      <c r="R439" s="17"/>
      <c r="S439" s="17"/>
      <c r="T439" s="17"/>
      <c r="U439" s="18" t="str">
        <f aca="false">IF(A439="","",IF(N(G439)-N(L439)-N(N439)&lt;0,"Check shares",IF(AND(P439&lt;&gt;"",Q439&lt;&gt;""),"Closed","Open")))</f>
        <v/>
      </c>
      <c r="V439" s="19" t="str">
        <f aca="false">IF(OR(F439="",P439=""),"",NETWORKDAYS(F439,P439,Lists!$F$5:$F$40)-1)</f>
        <v/>
      </c>
      <c r="W439" s="18" t="str">
        <f aca="false">IF(V439="","",IF(V439=0,"Same day","Overnight"))</f>
        <v/>
      </c>
      <c r="X439" s="18" t="str">
        <f aca="false">IF(OR(E439="",F439=""),"",IF(AND(E439&gt;=F439,OR(P439="",E439&lt;=P439)),"Yes","No"))</f>
        <v/>
      </c>
      <c r="Y439" s="20" t="str">
        <f aca="false">IF(A439="","",N(G439)-N(L439)-N(N439))</f>
        <v/>
      </c>
      <c r="Z439" s="21" t="str">
        <f aca="false">IF(OR(G439="",H439="",I439=""),"",ABS(H439-I439)*G439)</f>
        <v/>
      </c>
      <c r="AA439" s="22" t="str">
        <f aca="false">IF(OR(J439="",N(Z439)=0),"",ABS(J439-H439)/ABS(H439-I439))</f>
        <v/>
      </c>
      <c r="AB439" s="23" t="str">
        <f aca="false">IF(U439&lt;&gt;"Closed","",(N(L439)*N(M439)+N(N439)*N(O439)+Y439*Q439)/G439)</f>
        <v/>
      </c>
      <c r="AC439" s="24" t="str">
        <f aca="false">IF(U439&lt;&gt;"Closed","",IF($B439="Short",-1,1)*((N(M439)-H439)*N(L439)+(N(O439)-H439)*N(N439)+(Q439-H439)*Y439)-N(R439))</f>
        <v/>
      </c>
      <c r="AD439" s="25" t="str">
        <f aca="false">IF(OR(AC439="",N(Z439)=0),"",AC439/Z439)</f>
        <v/>
      </c>
      <c r="AE439" s="25" t="str">
        <f aca="false">IF(OR(S439="",N(Z439)=0),"",IF($B439="Short",-1,1)*(S439-H439)*G439/Z439)</f>
        <v/>
      </c>
      <c r="AF439" s="25" t="str">
        <f aca="false">IF(OR(T439="",N(Z439)=0),"",IF($B439="Short",-1,1)*(T439-H439)*G439/Z439)</f>
        <v/>
      </c>
      <c r="AG439" s="21" t="str">
        <f aca="false">IF(U439&lt;&gt;"Open","",Y439*MAX(0,IF($B439="Short",-1,1)*(H439-IF(K439="",I439,K439))))</f>
        <v/>
      </c>
      <c r="AH439" s="26" t="str">
        <f aca="false">IF(U439&lt;&gt;"Closed","",DATE(YEAR(P439),MONTH(P439),1))</f>
        <v/>
      </c>
      <c r="AI439" s="19" t="str">
        <f aca="false">IF(U439&lt;&gt;"Closed","",COUNTIFS($U$7:$U$506,"Closed",$P$7:$P$506,"&lt;"&amp;P439)+COUNTIFS($U$7:U439,"Closed",$P$7:P439,P439))</f>
        <v/>
      </c>
    </row>
    <row r="440" customFormat="false" ht="15" hidden="false" customHeight="false" outlineLevel="0" collapsed="false">
      <c r="A440" s="13"/>
      <c r="B440" s="48"/>
      <c r="C440" s="48"/>
      <c r="D440" s="48"/>
      <c r="E440" s="15"/>
      <c r="F440" s="15"/>
      <c r="G440" s="16"/>
      <c r="H440" s="17"/>
      <c r="I440" s="17"/>
      <c r="J440" s="17"/>
      <c r="K440" s="17"/>
      <c r="L440" s="16"/>
      <c r="M440" s="17"/>
      <c r="N440" s="16"/>
      <c r="O440" s="17"/>
      <c r="P440" s="15"/>
      <c r="Q440" s="17"/>
      <c r="R440" s="17"/>
      <c r="S440" s="17"/>
      <c r="T440" s="17"/>
      <c r="U440" s="18" t="str">
        <f aca="false">IF(A440="","",IF(N(G440)-N(L440)-N(N440)&lt;0,"Check shares",IF(AND(P440&lt;&gt;"",Q440&lt;&gt;""),"Closed","Open")))</f>
        <v/>
      </c>
      <c r="V440" s="19" t="str">
        <f aca="false">IF(OR(F440="",P440=""),"",NETWORKDAYS(F440,P440,Lists!$F$5:$F$40)-1)</f>
        <v/>
      </c>
      <c r="W440" s="18" t="str">
        <f aca="false">IF(V440="","",IF(V440=0,"Same day","Overnight"))</f>
        <v/>
      </c>
      <c r="X440" s="18" t="str">
        <f aca="false">IF(OR(E440="",F440=""),"",IF(AND(E440&gt;=F440,OR(P440="",E440&lt;=P440)),"Yes","No"))</f>
        <v/>
      </c>
      <c r="Y440" s="20" t="str">
        <f aca="false">IF(A440="","",N(G440)-N(L440)-N(N440))</f>
        <v/>
      </c>
      <c r="Z440" s="21" t="str">
        <f aca="false">IF(OR(G440="",H440="",I440=""),"",ABS(H440-I440)*G440)</f>
        <v/>
      </c>
      <c r="AA440" s="22" t="str">
        <f aca="false">IF(OR(J440="",N(Z440)=0),"",ABS(J440-H440)/ABS(H440-I440))</f>
        <v/>
      </c>
      <c r="AB440" s="23" t="str">
        <f aca="false">IF(U440&lt;&gt;"Closed","",(N(L440)*N(M440)+N(N440)*N(O440)+Y440*Q440)/G440)</f>
        <v/>
      </c>
      <c r="AC440" s="24" t="str">
        <f aca="false">IF(U440&lt;&gt;"Closed","",IF($B440="Short",-1,1)*((N(M440)-H440)*N(L440)+(N(O440)-H440)*N(N440)+(Q440-H440)*Y440)-N(R440))</f>
        <v/>
      </c>
      <c r="AD440" s="25" t="str">
        <f aca="false">IF(OR(AC440="",N(Z440)=0),"",AC440/Z440)</f>
        <v/>
      </c>
      <c r="AE440" s="25" t="str">
        <f aca="false">IF(OR(S440="",N(Z440)=0),"",IF($B440="Short",-1,1)*(S440-H440)*G440/Z440)</f>
        <v/>
      </c>
      <c r="AF440" s="25" t="str">
        <f aca="false">IF(OR(T440="",N(Z440)=0),"",IF($B440="Short",-1,1)*(T440-H440)*G440/Z440)</f>
        <v/>
      </c>
      <c r="AG440" s="21" t="str">
        <f aca="false">IF(U440&lt;&gt;"Open","",Y440*MAX(0,IF($B440="Short",-1,1)*(H440-IF(K440="",I440,K440))))</f>
        <v/>
      </c>
      <c r="AH440" s="26" t="str">
        <f aca="false">IF(U440&lt;&gt;"Closed","",DATE(YEAR(P440),MONTH(P440),1))</f>
        <v/>
      </c>
      <c r="AI440" s="19" t="str">
        <f aca="false">IF(U440&lt;&gt;"Closed","",COUNTIFS($U$7:$U$506,"Closed",$P$7:$P$506,"&lt;"&amp;P440)+COUNTIFS($U$7:U440,"Closed",$P$7:P440,P440))</f>
        <v/>
      </c>
    </row>
    <row r="441" customFormat="false" ht="15" hidden="false" customHeight="false" outlineLevel="0" collapsed="false">
      <c r="A441" s="13"/>
      <c r="B441" s="48"/>
      <c r="C441" s="48"/>
      <c r="D441" s="48"/>
      <c r="E441" s="15"/>
      <c r="F441" s="15"/>
      <c r="G441" s="16"/>
      <c r="H441" s="17"/>
      <c r="I441" s="17"/>
      <c r="J441" s="17"/>
      <c r="K441" s="17"/>
      <c r="L441" s="16"/>
      <c r="M441" s="17"/>
      <c r="N441" s="16"/>
      <c r="O441" s="17"/>
      <c r="P441" s="15"/>
      <c r="Q441" s="17"/>
      <c r="R441" s="17"/>
      <c r="S441" s="17"/>
      <c r="T441" s="17"/>
      <c r="U441" s="18" t="str">
        <f aca="false">IF(A441="","",IF(N(G441)-N(L441)-N(N441)&lt;0,"Check shares",IF(AND(P441&lt;&gt;"",Q441&lt;&gt;""),"Closed","Open")))</f>
        <v/>
      </c>
      <c r="V441" s="19" t="str">
        <f aca="false">IF(OR(F441="",P441=""),"",NETWORKDAYS(F441,P441,Lists!$F$5:$F$40)-1)</f>
        <v/>
      </c>
      <c r="W441" s="18" t="str">
        <f aca="false">IF(V441="","",IF(V441=0,"Same day","Overnight"))</f>
        <v/>
      </c>
      <c r="X441" s="18" t="str">
        <f aca="false">IF(OR(E441="",F441=""),"",IF(AND(E441&gt;=F441,OR(P441="",E441&lt;=P441)),"Yes","No"))</f>
        <v/>
      </c>
      <c r="Y441" s="20" t="str">
        <f aca="false">IF(A441="","",N(G441)-N(L441)-N(N441))</f>
        <v/>
      </c>
      <c r="Z441" s="21" t="str">
        <f aca="false">IF(OR(G441="",H441="",I441=""),"",ABS(H441-I441)*G441)</f>
        <v/>
      </c>
      <c r="AA441" s="22" t="str">
        <f aca="false">IF(OR(J441="",N(Z441)=0),"",ABS(J441-H441)/ABS(H441-I441))</f>
        <v/>
      </c>
      <c r="AB441" s="23" t="str">
        <f aca="false">IF(U441&lt;&gt;"Closed","",(N(L441)*N(M441)+N(N441)*N(O441)+Y441*Q441)/G441)</f>
        <v/>
      </c>
      <c r="AC441" s="24" t="str">
        <f aca="false">IF(U441&lt;&gt;"Closed","",IF($B441="Short",-1,1)*((N(M441)-H441)*N(L441)+(N(O441)-H441)*N(N441)+(Q441-H441)*Y441)-N(R441))</f>
        <v/>
      </c>
      <c r="AD441" s="25" t="str">
        <f aca="false">IF(OR(AC441="",N(Z441)=0),"",AC441/Z441)</f>
        <v/>
      </c>
      <c r="AE441" s="25" t="str">
        <f aca="false">IF(OR(S441="",N(Z441)=0),"",IF($B441="Short",-1,1)*(S441-H441)*G441/Z441)</f>
        <v/>
      </c>
      <c r="AF441" s="25" t="str">
        <f aca="false">IF(OR(T441="",N(Z441)=0),"",IF($B441="Short",-1,1)*(T441-H441)*G441/Z441)</f>
        <v/>
      </c>
      <c r="AG441" s="21" t="str">
        <f aca="false">IF(U441&lt;&gt;"Open","",Y441*MAX(0,IF($B441="Short",-1,1)*(H441-IF(K441="",I441,K441))))</f>
        <v/>
      </c>
      <c r="AH441" s="26" t="str">
        <f aca="false">IF(U441&lt;&gt;"Closed","",DATE(YEAR(P441),MONTH(P441),1))</f>
        <v/>
      </c>
      <c r="AI441" s="19" t="str">
        <f aca="false">IF(U441&lt;&gt;"Closed","",COUNTIFS($U$7:$U$506,"Closed",$P$7:$P$506,"&lt;"&amp;P441)+COUNTIFS($U$7:U441,"Closed",$P$7:P441,P441))</f>
        <v/>
      </c>
    </row>
    <row r="442" customFormat="false" ht="15" hidden="false" customHeight="false" outlineLevel="0" collapsed="false">
      <c r="A442" s="13"/>
      <c r="B442" s="48"/>
      <c r="C442" s="48"/>
      <c r="D442" s="48"/>
      <c r="E442" s="15"/>
      <c r="F442" s="15"/>
      <c r="G442" s="16"/>
      <c r="H442" s="17"/>
      <c r="I442" s="17"/>
      <c r="J442" s="17"/>
      <c r="K442" s="17"/>
      <c r="L442" s="16"/>
      <c r="M442" s="17"/>
      <c r="N442" s="16"/>
      <c r="O442" s="17"/>
      <c r="P442" s="15"/>
      <c r="Q442" s="17"/>
      <c r="R442" s="17"/>
      <c r="S442" s="17"/>
      <c r="T442" s="17"/>
      <c r="U442" s="18" t="str">
        <f aca="false">IF(A442="","",IF(N(G442)-N(L442)-N(N442)&lt;0,"Check shares",IF(AND(P442&lt;&gt;"",Q442&lt;&gt;""),"Closed","Open")))</f>
        <v/>
      </c>
      <c r="V442" s="19" t="str">
        <f aca="false">IF(OR(F442="",P442=""),"",NETWORKDAYS(F442,P442,Lists!$F$5:$F$40)-1)</f>
        <v/>
      </c>
      <c r="W442" s="18" t="str">
        <f aca="false">IF(V442="","",IF(V442=0,"Same day","Overnight"))</f>
        <v/>
      </c>
      <c r="X442" s="18" t="str">
        <f aca="false">IF(OR(E442="",F442=""),"",IF(AND(E442&gt;=F442,OR(P442="",E442&lt;=P442)),"Yes","No"))</f>
        <v/>
      </c>
      <c r="Y442" s="20" t="str">
        <f aca="false">IF(A442="","",N(G442)-N(L442)-N(N442))</f>
        <v/>
      </c>
      <c r="Z442" s="21" t="str">
        <f aca="false">IF(OR(G442="",H442="",I442=""),"",ABS(H442-I442)*G442)</f>
        <v/>
      </c>
      <c r="AA442" s="22" t="str">
        <f aca="false">IF(OR(J442="",N(Z442)=0),"",ABS(J442-H442)/ABS(H442-I442))</f>
        <v/>
      </c>
      <c r="AB442" s="23" t="str">
        <f aca="false">IF(U442&lt;&gt;"Closed","",(N(L442)*N(M442)+N(N442)*N(O442)+Y442*Q442)/G442)</f>
        <v/>
      </c>
      <c r="AC442" s="24" t="str">
        <f aca="false">IF(U442&lt;&gt;"Closed","",IF($B442="Short",-1,1)*((N(M442)-H442)*N(L442)+(N(O442)-H442)*N(N442)+(Q442-H442)*Y442)-N(R442))</f>
        <v/>
      </c>
      <c r="AD442" s="25" t="str">
        <f aca="false">IF(OR(AC442="",N(Z442)=0),"",AC442/Z442)</f>
        <v/>
      </c>
      <c r="AE442" s="25" t="str">
        <f aca="false">IF(OR(S442="",N(Z442)=0),"",IF($B442="Short",-1,1)*(S442-H442)*G442/Z442)</f>
        <v/>
      </c>
      <c r="AF442" s="25" t="str">
        <f aca="false">IF(OR(T442="",N(Z442)=0),"",IF($B442="Short",-1,1)*(T442-H442)*G442/Z442)</f>
        <v/>
      </c>
      <c r="AG442" s="21" t="str">
        <f aca="false">IF(U442&lt;&gt;"Open","",Y442*MAX(0,IF($B442="Short",-1,1)*(H442-IF(K442="",I442,K442))))</f>
        <v/>
      </c>
      <c r="AH442" s="26" t="str">
        <f aca="false">IF(U442&lt;&gt;"Closed","",DATE(YEAR(P442),MONTH(P442),1))</f>
        <v/>
      </c>
      <c r="AI442" s="19" t="str">
        <f aca="false">IF(U442&lt;&gt;"Closed","",COUNTIFS($U$7:$U$506,"Closed",$P$7:$P$506,"&lt;"&amp;P442)+COUNTIFS($U$7:U442,"Closed",$P$7:P442,P442))</f>
        <v/>
      </c>
    </row>
    <row r="443" customFormat="false" ht="15" hidden="false" customHeight="false" outlineLevel="0" collapsed="false">
      <c r="A443" s="13"/>
      <c r="B443" s="48"/>
      <c r="C443" s="48"/>
      <c r="D443" s="48"/>
      <c r="E443" s="15"/>
      <c r="F443" s="15"/>
      <c r="G443" s="16"/>
      <c r="H443" s="17"/>
      <c r="I443" s="17"/>
      <c r="J443" s="17"/>
      <c r="K443" s="17"/>
      <c r="L443" s="16"/>
      <c r="M443" s="17"/>
      <c r="N443" s="16"/>
      <c r="O443" s="17"/>
      <c r="P443" s="15"/>
      <c r="Q443" s="17"/>
      <c r="R443" s="17"/>
      <c r="S443" s="17"/>
      <c r="T443" s="17"/>
      <c r="U443" s="18" t="str">
        <f aca="false">IF(A443="","",IF(N(G443)-N(L443)-N(N443)&lt;0,"Check shares",IF(AND(P443&lt;&gt;"",Q443&lt;&gt;""),"Closed","Open")))</f>
        <v/>
      </c>
      <c r="V443" s="19" t="str">
        <f aca="false">IF(OR(F443="",P443=""),"",NETWORKDAYS(F443,P443,Lists!$F$5:$F$40)-1)</f>
        <v/>
      </c>
      <c r="W443" s="18" t="str">
        <f aca="false">IF(V443="","",IF(V443=0,"Same day","Overnight"))</f>
        <v/>
      </c>
      <c r="X443" s="18" t="str">
        <f aca="false">IF(OR(E443="",F443=""),"",IF(AND(E443&gt;=F443,OR(P443="",E443&lt;=P443)),"Yes","No"))</f>
        <v/>
      </c>
      <c r="Y443" s="20" t="str">
        <f aca="false">IF(A443="","",N(G443)-N(L443)-N(N443))</f>
        <v/>
      </c>
      <c r="Z443" s="21" t="str">
        <f aca="false">IF(OR(G443="",H443="",I443=""),"",ABS(H443-I443)*G443)</f>
        <v/>
      </c>
      <c r="AA443" s="22" t="str">
        <f aca="false">IF(OR(J443="",N(Z443)=0),"",ABS(J443-H443)/ABS(H443-I443))</f>
        <v/>
      </c>
      <c r="AB443" s="23" t="str">
        <f aca="false">IF(U443&lt;&gt;"Closed","",(N(L443)*N(M443)+N(N443)*N(O443)+Y443*Q443)/G443)</f>
        <v/>
      </c>
      <c r="AC443" s="24" t="str">
        <f aca="false">IF(U443&lt;&gt;"Closed","",IF($B443="Short",-1,1)*((N(M443)-H443)*N(L443)+(N(O443)-H443)*N(N443)+(Q443-H443)*Y443)-N(R443))</f>
        <v/>
      </c>
      <c r="AD443" s="25" t="str">
        <f aca="false">IF(OR(AC443="",N(Z443)=0),"",AC443/Z443)</f>
        <v/>
      </c>
      <c r="AE443" s="25" t="str">
        <f aca="false">IF(OR(S443="",N(Z443)=0),"",IF($B443="Short",-1,1)*(S443-H443)*G443/Z443)</f>
        <v/>
      </c>
      <c r="AF443" s="25" t="str">
        <f aca="false">IF(OR(T443="",N(Z443)=0),"",IF($B443="Short",-1,1)*(T443-H443)*G443/Z443)</f>
        <v/>
      </c>
      <c r="AG443" s="21" t="str">
        <f aca="false">IF(U443&lt;&gt;"Open","",Y443*MAX(0,IF($B443="Short",-1,1)*(H443-IF(K443="",I443,K443))))</f>
        <v/>
      </c>
      <c r="AH443" s="26" t="str">
        <f aca="false">IF(U443&lt;&gt;"Closed","",DATE(YEAR(P443),MONTH(P443),1))</f>
        <v/>
      </c>
      <c r="AI443" s="19" t="str">
        <f aca="false">IF(U443&lt;&gt;"Closed","",COUNTIFS($U$7:$U$506,"Closed",$P$7:$P$506,"&lt;"&amp;P443)+COUNTIFS($U$7:U443,"Closed",$P$7:P443,P443))</f>
        <v/>
      </c>
    </row>
    <row r="444" customFormat="false" ht="15" hidden="false" customHeight="false" outlineLevel="0" collapsed="false">
      <c r="A444" s="13"/>
      <c r="B444" s="48"/>
      <c r="C444" s="48"/>
      <c r="D444" s="48"/>
      <c r="E444" s="15"/>
      <c r="F444" s="15"/>
      <c r="G444" s="16"/>
      <c r="H444" s="17"/>
      <c r="I444" s="17"/>
      <c r="J444" s="17"/>
      <c r="K444" s="17"/>
      <c r="L444" s="16"/>
      <c r="M444" s="17"/>
      <c r="N444" s="16"/>
      <c r="O444" s="17"/>
      <c r="P444" s="15"/>
      <c r="Q444" s="17"/>
      <c r="R444" s="17"/>
      <c r="S444" s="17"/>
      <c r="T444" s="17"/>
      <c r="U444" s="18" t="str">
        <f aca="false">IF(A444="","",IF(N(G444)-N(L444)-N(N444)&lt;0,"Check shares",IF(AND(P444&lt;&gt;"",Q444&lt;&gt;""),"Closed","Open")))</f>
        <v/>
      </c>
      <c r="V444" s="19" t="str">
        <f aca="false">IF(OR(F444="",P444=""),"",NETWORKDAYS(F444,P444,Lists!$F$5:$F$40)-1)</f>
        <v/>
      </c>
      <c r="W444" s="18" t="str">
        <f aca="false">IF(V444="","",IF(V444=0,"Same day","Overnight"))</f>
        <v/>
      </c>
      <c r="X444" s="18" t="str">
        <f aca="false">IF(OR(E444="",F444=""),"",IF(AND(E444&gt;=F444,OR(P444="",E444&lt;=P444)),"Yes","No"))</f>
        <v/>
      </c>
      <c r="Y444" s="20" t="str">
        <f aca="false">IF(A444="","",N(G444)-N(L444)-N(N444))</f>
        <v/>
      </c>
      <c r="Z444" s="21" t="str">
        <f aca="false">IF(OR(G444="",H444="",I444=""),"",ABS(H444-I444)*G444)</f>
        <v/>
      </c>
      <c r="AA444" s="22" t="str">
        <f aca="false">IF(OR(J444="",N(Z444)=0),"",ABS(J444-H444)/ABS(H444-I444))</f>
        <v/>
      </c>
      <c r="AB444" s="23" t="str">
        <f aca="false">IF(U444&lt;&gt;"Closed","",(N(L444)*N(M444)+N(N444)*N(O444)+Y444*Q444)/G444)</f>
        <v/>
      </c>
      <c r="AC444" s="24" t="str">
        <f aca="false">IF(U444&lt;&gt;"Closed","",IF($B444="Short",-1,1)*((N(M444)-H444)*N(L444)+(N(O444)-H444)*N(N444)+(Q444-H444)*Y444)-N(R444))</f>
        <v/>
      </c>
      <c r="AD444" s="25" t="str">
        <f aca="false">IF(OR(AC444="",N(Z444)=0),"",AC444/Z444)</f>
        <v/>
      </c>
      <c r="AE444" s="25" t="str">
        <f aca="false">IF(OR(S444="",N(Z444)=0),"",IF($B444="Short",-1,1)*(S444-H444)*G444/Z444)</f>
        <v/>
      </c>
      <c r="AF444" s="25" t="str">
        <f aca="false">IF(OR(T444="",N(Z444)=0),"",IF($B444="Short",-1,1)*(T444-H444)*G444/Z444)</f>
        <v/>
      </c>
      <c r="AG444" s="21" t="str">
        <f aca="false">IF(U444&lt;&gt;"Open","",Y444*MAX(0,IF($B444="Short",-1,1)*(H444-IF(K444="",I444,K444))))</f>
        <v/>
      </c>
      <c r="AH444" s="26" t="str">
        <f aca="false">IF(U444&lt;&gt;"Closed","",DATE(YEAR(P444),MONTH(P444),1))</f>
        <v/>
      </c>
      <c r="AI444" s="19" t="str">
        <f aca="false">IF(U444&lt;&gt;"Closed","",COUNTIFS($U$7:$U$506,"Closed",$P$7:$P$506,"&lt;"&amp;P444)+COUNTIFS($U$7:U444,"Closed",$P$7:P444,P444))</f>
        <v/>
      </c>
    </row>
    <row r="445" customFormat="false" ht="15" hidden="false" customHeight="false" outlineLevel="0" collapsed="false">
      <c r="A445" s="13"/>
      <c r="B445" s="48"/>
      <c r="C445" s="48"/>
      <c r="D445" s="48"/>
      <c r="E445" s="15"/>
      <c r="F445" s="15"/>
      <c r="G445" s="16"/>
      <c r="H445" s="17"/>
      <c r="I445" s="17"/>
      <c r="J445" s="17"/>
      <c r="K445" s="17"/>
      <c r="L445" s="16"/>
      <c r="M445" s="17"/>
      <c r="N445" s="16"/>
      <c r="O445" s="17"/>
      <c r="P445" s="15"/>
      <c r="Q445" s="17"/>
      <c r="R445" s="17"/>
      <c r="S445" s="17"/>
      <c r="T445" s="17"/>
      <c r="U445" s="18" t="str">
        <f aca="false">IF(A445="","",IF(N(G445)-N(L445)-N(N445)&lt;0,"Check shares",IF(AND(P445&lt;&gt;"",Q445&lt;&gt;""),"Closed","Open")))</f>
        <v/>
      </c>
      <c r="V445" s="19" t="str">
        <f aca="false">IF(OR(F445="",P445=""),"",NETWORKDAYS(F445,P445,Lists!$F$5:$F$40)-1)</f>
        <v/>
      </c>
      <c r="W445" s="18" t="str">
        <f aca="false">IF(V445="","",IF(V445=0,"Same day","Overnight"))</f>
        <v/>
      </c>
      <c r="X445" s="18" t="str">
        <f aca="false">IF(OR(E445="",F445=""),"",IF(AND(E445&gt;=F445,OR(P445="",E445&lt;=P445)),"Yes","No"))</f>
        <v/>
      </c>
      <c r="Y445" s="20" t="str">
        <f aca="false">IF(A445="","",N(G445)-N(L445)-N(N445))</f>
        <v/>
      </c>
      <c r="Z445" s="21" t="str">
        <f aca="false">IF(OR(G445="",H445="",I445=""),"",ABS(H445-I445)*G445)</f>
        <v/>
      </c>
      <c r="AA445" s="22" t="str">
        <f aca="false">IF(OR(J445="",N(Z445)=0),"",ABS(J445-H445)/ABS(H445-I445))</f>
        <v/>
      </c>
      <c r="AB445" s="23" t="str">
        <f aca="false">IF(U445&lt;&gt;"Closed","",(N(L445)*N(M445)+N(N445)*N(O445)+Y445*Q445)/G445)</f>
        <v/>
      </c>
      <c r="AC445" s="24" t="str">
        <f aca="false">IF(U445&lt;&gt;"Closed","",IF($B445="Short",-1,1)*((N(M445)-H445)*N(L445)+(N(O445)-H445)*N(N445)+(Q445-H445)*Y445)-N(R445))</f>
        <v/>
      </c>
      <c r="AD445" s="25" t="str">
        <f aca="false">IF(OR(AC445="",N(Z445)=0),"",AC445/Z445)</f>
        <v/>
      </c>
      <c r="AE445" s="25" t="str">
        <f aca="false">IF(OR(S445="",N(Z445)=0),"",IF($B445="Short",-1,1)*(S445-H445)*G445/Z445)</f>
        <v/>
      </c>
      <c r="AF445" s="25" t="str">
        <f aca="false">IF(OR(T445="",N(Z445)=0),"",IF($B445="Short",-1,1)*(T445-H445)*G445/Z445)</f>
        <v/>
      </c>
      <c r="AG445" s="21" t="str">
        <f aca="false">IF(U445&lt;&gt;"Open","",Y445*MAX(0,IF($B445="Short",-1,1)*(H445-IF(K445="",I445,K445))))</f>
        <v/>
      </c>
      <c r="AH445" s="26" t="str">
        <f aca="false">IF(U445&lt;&gt;"Closed","",DATE(YEAR(P445),MONTH(P445),1))</f>
        <v/>
      </c>
      <c r="AI445" s="19" t="str">
        <f aca="false">IF(U445&lt;&gt;"Closed","",COUNTIFS($U$7:$U$506,"Closed",$P$7:$P$506,"&lt;"&amp;P445)+COUNTIFS($U$7:U445,"Closed",$P$7:P445,P445))</f>
        <v/>
      </c>
    </row>
    <row r="446" customFormat="false" ht="15" hidden="false" customHeight="false" outlineLevel="0" collapsed="false">
      <c r="A446" s="13"/>
      <c r="B446" s="48"/>
      <c r="C446" s="48"/>
      <c r="D446" s="48"/>
      <c r="E446" s="15"/>
      <c r="F446" s="15"/>
      <c r="G446" s="16"/>
      <c r="H446" s="17"/>
      <c r="I446" s="17"/>
      <c r="J446" s="17"/>
      <c r="K446" s="17"/>
      <c r="L446" s="16"/>
      <c r="M446" s="17"/>
      <c r="N446" s="16"/>
      <c r="O446" s="17"/>
      <c r="P446" s="15"/>
      <c r="Q446" s="17"/>
      <c r="R446" s="17"/>
      <c r="S446" s="17"/>
      <c r="T446" s="17"/>
      <c r="U446" s="18" t="str">
        <f aca="false">IF(A446="","",IF(N(G446)-N(L446)-N(N446)&lt;0,"Check shares",IF(AND(P446&lt;&gt;"",Q446&lt;&gt;""),"Closed","Open")))</f>
        <v/>
      </c>
      <c r="V446" s="19" t="str">
        <f aca="false">IF(OR(F446="",P446=""),"",NETWORKDAYS(F446,P446,Lists!$F$5:$F$40)-1)</f>
        <v/>
      </c>
      <c r="W446" s="18" t="str">
        <f aca="false">IF(V446="","",IF(V446=0,"Same day","Overnight"))</f>
        <v/>
      </c>
      <c r="X446" s="18" t="str">
        <f aca="false">IF(OR(E446="",F446=""),"",IF(AND(E446&gt;=F446,OR(P446="",E446&lt;=P446)),"Yes","No"))</f>
        <v/>
      </c>
      <c r="Y446" s="20" t="str">
        <f aca="false">IF(A446="","",N(G446)-N(L446)-N(N446))</f>
        <v/>
      </c>
      <c r="Z446" s="21" t="str">
        <f aca="false">IF(OR(G446="",H446="",I446=""),"",ABS(H446-I446)*G446)</f>
        <v/>
      </c>
      <c r="AA446" s="22" t="str">
        <f aca="false">IF(OR(J446="",N(Z446)=0),"",ABS(J446-H446)/ABS(H446-I446))</f>
        <v/>
      </c>
      <c r="AB446" s="23" t="str">
        <f aca="false">IF(U446&lt;&gt;"Closed","",(N(L446)*N(M446)+N(N446)*N(O446)+Y446*Q446)/G446)</f>
        <v/>
      </c>
      <c r="AC446" s="24" t="str">
        <f aca="false">IF(U446&lt;&gt;"Closed","",IF($B446="Short",-1,1)*((N(M446)-H446)*N(L446)+(N(O446)-H446)*N(N446)+(Q446-H446)*Y446)-N(R446))</f>
        <v/>
      </c>
      <c r="AD446" s="25" t="str">
        <f aca="false">IF(OR(AC446="",N(Z446)=0),"",AC446/Z446)</f>
        <v/>
      </c>
      <c r="AE446" s="25" t="str">
        <f aca="false">IF(OR(S446="",N(Z446)=0),"",IF($B446="Short",-1,1)*(S446-H446)*G446/Z446)</f>
        <v/>
      </c>
      <c r="AF446" s="25" t="str">
        <f aca="false">IF(OR(T446="",N(Z446)=0),"",IF($B446="Short",-1,1)*(T446-H446)*G446/Z446)</f>
        <v/>
      </c>
      <c r="AG446" s="21" t="str">
        <f aca="false">IF(U446&lt;&gt;"Open","",Y446*MAX(0,IF($B446="Short",-1,1)*(H446-IF(K446="",I446,K446))))</f>
        <v/>
      </c>
      <c r="AH446" s="26" t="str">
        <f aca="false">IF(U446&lt;&gt;"Closed","",DATE(YEAR(P446),MONTH(P446),1))</f>
        <v/>
      </c>
      <c r="AI446" s="19" t="str">
        <f aca="false">IF(U446&lt;&gt;"Closed","",COUNTIFS($U$7:$U$506,"Closed",$P$7:$P$506,"&lt;"&amp;P446)+COUNTIFS($U$7:U446,"Closed",$P$7:P446,P446))</f>
        <v/>
      </c>
    </row>
    <row r="447" customFormat="false" ht="15" hidden="false" customHeight="false" outlineLevel="0" collapsed="false">
      <c r="A447" s="13"/>
      <c r="B447" s="48"/>
      <c r="C447" s="48"/>
      <c r="D447" s="48"/>
      <c r="E447" s="15"/>
      <c r="F447" s="15"/>
      <c r="G447" s="16"/>
      <c r="H447" s="17"/>
      <c r="I447" s="17"/>
      <c r="J447" s="17"/>
      <c r="K447" s="17"/>
      <c r="L447" s="16"/>
      <c r="M447" s="17"/>
      <c r="N447" s="16"/>
      <c r="O447" s="17"/>
      <c r="P447" s="15"/>
      <c r="Q447" s="17"/>
      <c r="R447" s="17"/>
      <c r="S447" s="17"/>
      <c r="T447" s="17"/>
      <c r="U447" s="18" t="str">
        <f aca="false">IF(A447="","",IF(N(G447)-N(L447)-N(N447)&lt;0,"Check shares",IF(AND(P447&lt;&gt;"",Q447&lt;&gt;""),"Closed","Open")))</f>
        <v/>
      </c>
      <c r="V447" s="19" t="str">
        <f aca="false">IF(OR(F447="",P447=""),"",NETWORKDAYS(F447,P447,Lists!$F$5:$F$40)-1)</f>
        <v/>
      </c>
      <c r="W447" s="18" t="str">
        <f aca="false">IF(V447="","",IF(V447=0,"Same day","Overnight"))</f>
        <v/>
      </c>
      <c r="X447" s="18" t="str">
        <f aca="false">IF(OR(E447="",F447=""),"",IF(AND(E447&gt;=F447,OR(P447="",E447&lt;=P447)),"Yes","No"))</f>
        <v/>
      </c>
      <c r="Y447" s="20" t="str">
        <f aca="false">IF(A447="","",N(G447)-N(L447)-N(N447))</f>
        <v/>
      </c>
      <c r="Z447" s="21" t="str">
        <f aca="false">IF(OR(G447="",H447="",I447=""),"",ABS(H447-I447)*G447)</f>
        <v/>
      </c>
      <c r="AA447" s="22" t="str">
        <f aca="false">IF(OR(J447="",N(Z447)=0),"",ABS(J447-H447)/ABS(H447-I447))</f>
        <v/>
      </c>
      <c r="AB447" s="23" t="str">
        <f aca="false">IF(U447&lt;&gt;"Closed","",(N(L447)*N(M447)+N(N447)*N(O447)+Y447*Q447)/G447)</f>
        <v/>
      </c>
      <c r="AC447" s="24" t="str">
        <f aca="false">IF(U447&lt;&gt;"Closed","",IF($B447="Short",-1,1)*((N(M447)-H447)*N(L447)+(N(O447)-H447)*N(N447)+(Q447-H447)*Y447)-N(R447))</f>
        <v/>
      </c>
      <c r="AD447" s="25" t="str">
        <f aca="false">IF(OR(AC447="",N(Z447)=0),"",AC447/Z447)</f>
        <v/>
      </c>
      <c r="AE447" s="25" t="str">
        <f aca="false">IF(OR(S447="",N(Z447)=0),"",IF($B447="Short",-1,1)*(S447-H447)*G447/Z447)</f>
        <v/>
      </c>
      <c r="AF447" s="25" t="str">
        <f aca="false">IF(OR(T447="",N(Z447)=0),"",IF($B447="Short",-1,1)*(T447-H447)*G447/Z447)</f>
        <v/>
      </c>
      <c r="AG447" s="21" t="str">
        <f aca="false">IF(U447&lt;&gt;"Open","",Y447*MAX(0,IF($B447="Short",-1,1)*(H447-IF(K447="",I447,K447))))</f>
        <v/>
      </c>
      <c r="AH447" s="26" t="str">
        <f aca="false">IF(U447&lt;&gt;"Closed","",DATE(YEAR(P447),MONTH(P447),1))</f>
        <v/>
      </c>
      <c r="AI447" s="19" t="str">
        <f aca="false">IF(U447&lt;&gt;"Closed","",COUNTIFS($U$7:$U$506,"Closed",$P$7:$P$506,"&lt;"&amp;P447)+COUNTIFS($U$7:U447,"Closed",$P$7:P447,P447))</f>
        <v/>
      </c>
    </row>
    <row r="448" customFormat="false" ht="15" hidden="false" customHeight="false" outlineLevel="0" collapsed="false">
      <c r="A448" s="13"/>
      <c r="B448" s="48"/>
      <c r="C448" s="48"/>
      <c r="D448" s="48"/>
      <c r="E448" s="15"/>
      <c r="F448" s="15"/>
      <c r="G448" s="16"/>
      <c r="H448" s="17"/>
      <c r="I448" s="17"/>
      <c r="J448" s="17"/>
      <c r="K448" s="17"/>
      <c r="L448" s="16"/>
      <c r="M448" s="17"/>
      <c r="N448" s="16"/>
      <c r="O448" s="17"/>
      <c r="P448" s="15"/>
      <c r="Q448" s="17"/>
      <c r="R448" s="17"/>
      <c r="S448" s="17"/>
      <c r="T448" s="17"/>
      <c r="U448" s="18" t="str">
        <f aca="false">IF(A448="","",IF(N(G448)-N(L448)-N(N448)&lt;0,"Check shares",IF(AND(P448&lt;&gt;"",Q448&lt;&gt;""),"Closed","Open")))</f>
        <v/>
      </c>
      <c r="V448" s="19" t="str">
        <f aca="false">IF(OR(F448="",P448=""),"",NETWORKDAYS(F448,P448,Lists!$F$5:$F$40)-1)</f>
        <v/>
      </c>
      <c r="W448" s="18" t="str">
        <f aca="false">IF(V448="","",IF(V448=0,"Same day","Overnight"))</f>
        <v/>
      </c>
      <c r="X448" s="18" t="str">
        <f aca="false">IF(OR(E448="",F448=""),"",IF(AND(E448&gt;=F448,OR(P448="",E448&lt;=P448)),"Yes","No"))</f>
        <v/>
      </c>
      <c r="Y448" s="20" t="str">
        <f aca="false">IF(A448="","",N(G448)-N(L448)-N(N448))</f>
        <v/>
      </c>
      <c r="Z448" s="21" t="str">
        <f aca="false">IF(OR(G448="",H448="",I448=""),"",ABS(H448-I448)*G448)</f>
        <v/>
      </c>
      <c r="AA448" s="22" t="str">
        <f aca="false">IF(OR(J448="",N(Z448)=0),"",ABS(J448-H448)/ABS(H448-I448))</f>
        <v/>
      </c>
      <c r="AB448" s="23" t="str">
        <f aca="false">IF(U448&lt;&gt;"Closed","",(N(L448)*N(M448)+N(N448)*N(O448)+Y448*Q448)/G448)</f>
        <v/>
      </c>
      <c r="AC448" s="24" t="str">
        <f aca="false">IF(U448&lt;&gt;"Closed","",IF($B448="Short",-1,1)*((N(M448)-H448)*N(L448)+(N(O448)-H448)*N(N448)+(Q448-H448)*Y448)-N(R448))</f>
        <v/>
      </c>
      <c r="AD448" s="25" t="str">
        <f aca="false">IF(OR(AC448="",N(Z448)=0),"",AC448/Z448)</f>
        <v/>
      </c>
      <c r="AE448" s="25" t="str">
        <f aca="false">IF(OR(S448="",N(Z448)=0),"",IF($B448="Short",-1,1)*(S448-H448)*G448/Z448)</f>
        <v/>
      </c>
      <c r="AF448" s="25" t="str">
        <f aca="false">IF(OR(T448="",N(Z448)=0),"",IF($B448="Short",-1,1)*(T448-H448)*G448/Z448)</f>
        <v/>
      </c>
      <c r="AG448" s="21" t="str">
        <f aca="false">IF(U448&lt;&gt;"Open","",Y448*MAX(0,IF($B448="Short",-1,1)*(H448-IF(K448="",I448,K448))))</f>
        <v/>
      </c>
      <c r="AH448" s="26" t="str">
        <f aca="false">IF(U448&lt;&gt;"Closed","",DATE(YEAR(P448),MONTH(P448),1))</f>
        <v/>
      </c>
      <c r="AI448" s="19" t="str">
        <f aca="false">IF(U448&lt;&gt;"Closed","",COUNTIFS($U$7:$U$506,"Closed",$P$7:$P$506,"&lt;"&amp;P448)+COUNTIFS($U$7:U448,"Closed",$P$7:P448,P448))</f>
        <v/>
      </c>
    </row>
    <row r="449" customFormat="false" ht="15" hidden="false" customHeight="false" outlineLevel="0" collapsed="false">
      <c r="A449" s="13"/>
      <c r="B449" s="48"/>
      <c r="C449" s="48"/>
      <c r="D449" s="48"/>
      <c r="E449" s="15"/>
      <c r="F449" s="15"/>
      <c r="G449" s="16"/>
      <c r="H449" s="17"/>
      <c r="I449" s="17"/>
      <c r="J449" s="17"/>
      <c r="K449" s="17"/>
      <c r="L449" s="16"/>
      <c r="M449" s="17"/>
      <c r="N449" s="16"/>
      <c r="O449" s="17"/>
      <c r="P449" s="15"/>
      <c r="Q449" s="17"/>
      <c r="R449" s="17"/>
      <c r="S449" s="17"/>
      <c r="T449" s="17"/>
      <c r="U449" s="18" t="str">
        <f aca="false">IF(A449="","",IF(N(G449)-N(L449)-N(N449)&lt;0,"Check shares",IF(AND(P449&lt;&gt;"",Q449&lt;&gt;""),"Closed","Open")))</f>
        <v/>
      </c>
      <c r="V449" s="19" t="str">
        <f aca="false">IF(OR(F449="",P449=""),"",NETWORKDAYS(F449,P449,Lists!$F$5:$F$40)-1)</f>
        <v/>
      </c>
      <c r="W449" s="18" t="str">
        <f aca="false">IF(V449="","",IF(V449=0,"Same day","Overnight"))</f>
        <v/>
      </c>
      <c r="X449" s="18" t="str">
        <f aca="false">IF(OR(E449="",F449=""),"",IF(AND(E449&gt;=F449,OR(P449="",E449&lt;=P449)),"Yes","No"))</f>
        <v/>
      </c>
      <c r="Y449" s="20" t="str">
        <f aca="false">IF(A449="","",N(G449)-N(L449)-N(N449))</f>
        <v/>
      </c>
      <c r="Z449" s="21" t="str">
        <f aca="false">IF(OR(G449="",H449="",I449=""),"",ABS(H449-I449)*G449)</f>
        <v/>
      </c>
      <c r="AA449" s="22" t="str">
        <f aca="false">IF(OR(J449="",N(Z449)=0),"",ABS(J449-H449)/ABS(H449-I449))</f>
        <v/>
      </c>
      <c r="AB449" s="23" t="str">
        <f aca="false">IF(U449&lt;&gt;"Closed","",(N(L449)*N(M449)+N(N449)*N(O449)+Y449*Q449)/G449)</f>
        <v/>
      </c>
      <c r="AC449" s="24" t="str">
        <f aca="false">IF(U449&lt;&gt;"Closed","",IF($B449="Short",-1,1)*((N(M449)-H449)*N(L449)+(N(O449)-H449)*N(N449)+(Q449-H449)*Y449)-N(R449))</f>
        <v/>
      </c>
      <c r="AD449" s="25" t="str">
        <f aca="false">IF(OR(AC449="",N(Z449)=0),"",AC449/Z449)</f>
        <v/>
      </c>
      <c r="AE449" s="25" t="str">
        <f aca="false">IF(OR(S449="",N(Z449)=0),"",IF($B449="Short",-1,1)*(S449-H449)*G449/Z449)</f>
        <v/>
      </c>
      <c r="AF449" s="25" t="str">
        <f aca="false">IF(OR(T449="",N(Z449)=0),"",IF($B449="Short",-1,1)*(T449-H449)*G449/Z449)</f>
        <v/>
      </c>
      <c r="AG449" s="21" t="str">
        <f aca="false">IF(U449&lt;&gt;"Open","",Y449*MAX(0,IF($B449="Short",-1,1)*(H449-IF(K449="",I449,K449))))</f>
        <v/>
      </c>
      <c r="AH449" s="26" t="str">
        <f aca="false">IF(U449&lt;&gt;"Closed","",DATE(YEAR(P449),MONTH(P449),1))</f>
        <v/>
      </c>
      <c r="AI449" s="19" t="str">
        <f aca="false">IF(U449&lt;&gt;"Closed","",COUNTIFS($U$7:$U$506,"Closed",$P$7:$P$506,"&lt;"&amp;P449)+COUNTIFS($U$7:U449,"Closed",$P$7:P449,P449))</f>
        <v/>
      </c>
    </row>
    <row r="450" customFormat="false" ht="15" hidden="false" customHeight="false" outlineLevel="0" collapsed="false">
      <c r="A450" s="13"/>
      <c r="B450" s="48"/>
      <c r="C450" s="48"/>
      <c r="D450" s="48"/>
      <c r="E450" s="15"/>
      <c r="F450" s="15"/>
      <c r="G450" s="16"/>
      <c r="H450" s="17"/>
      <c r="I450" s="17"/>
      <c r="J450" s="17"/>
      <c r="K450" s="17"/>
      <c r="L450" s="16"/>
      <c r="M450" s="17"/>
      <c r="N450" s="16"/>
      <c r="O450" s="17"/>
      <c r="P450" s="15"/>
      <c r="Q450" s="17"/>
      <c r="R450" s="17"/>
      <c r="S450" s="17"/>
      <c r="T450" s="17"/>
      <c r="U450" s="18" t="str">
        <f aca="false">IF(A450="","",IF(N(G450)-N(L450)-N(N450)&lt;0,"Check shares",IF(AND(P450&lt;&gt;"",Q450&lt;&gt;""),"Closed","Open")))</f>
        <v/>
      </c>
      <c r="V450" s="19" t="str">
        <f aca="false">IF(OR(F450="",P450=""),"",NETWORKDAYS(F450,P450,Lists!$F$5:$F$40)-1)</f>
        <v/>
      </c>
      <c r="W450" s="18" t="str">
        <f aca="false">IF(V450="","",IF(V450=0,"Same day","Overnight"))</f>
        <v/>
      </c>
      <c r="X450" s="18" t="str">
        <f aca="false">IF(OR(E450="",F450=""),"",IF(AND(E450&gt;=F450,OR(P450="",E450&lt;=P450)),"Yes","No"))</f>
        <v/>
      </c>
      <c r="Y450" s="20" t="str">
        <f aca="false">IF(A450="","",N(G450)-N(L450)-N(N450))</f>
        <v/>
      </c>
      <c r="Z450" s="21" t="str">
        <f aca="false">IF(OR(G450="",H450="",I450=""),"",ABS(H450-I450)*G450)</f>
        <v/>
      </c>
      <c r="AA450" s="22" t="str">
        <f aca="false">IF(OR(J450="",N(Z450)=0),"",ABS(J450-H450)/ABS(H450-I450))</f>
        <v/>
      </c>
      <c r="AB450" s="23" t="str">
        <f aca="false">IF(U450&lt;&gt;"Closed","",(N(L450)*N(M450)+N(N450)*N(O450)+Y450*Q450)/G450)</f>
        <v/>
      </c>
      <c r="AC450" s="24" t="str">
        <f aca="false">IF(U450&lt;&gt;"Closed","",IF($B450="Short",-1,1)*((N(M450)-H450)*N(L450)+(N(O450)-H450)*N(N450)+(Q450-H450)*Y450)-N(R450))</f>
        <v/>
      </c>
      <c r="AD450" s="25" t="str">
        <f aca="false">IF(OR(AC450="",N(Z450)=0),"",AC450/Z450)</f>
        <v/>
      </c>
      <c r="AE450" s="25" t="str">
        <f aca="false">IF(OR(S450="",N(Z450)=0),"",IF($B450="Short",-1,1)*(S450-H450)*G450/Z450)</f>
        <v/>
      </c>
      <c r="AF450" s="25" t="str">
        <f aca="false">IF(OR(T450="",N(Z450)=0),"",IF($B450="Short",-1,1)*(T450-H450)*G450/Z450)</f>
        <v/>
      </c>
      <c r="AG450" s="21" t="str">
        <f aca="false">IF(U450&lt;&gt;"Open","",Y450*MAX(0,IF($B450="Short",-1,1)*(H450-IF(K450="",I450,K450))))</f>
        <v/>
      </c>
      <c r="AH450" s="26" t="str">
        <f aca="false">IF(U450&lt;&gt;"Closed","",DATE(YEAR(P450),MONTH(P450),1))</f>
        <v/>
      </c>
      <c r="AI450" s="19" t="str">
        <f aca="false">IF(U450&lt;&gt;"Closed","",COUNTIFS($U$7:$U$506,"Closed",$P$7:$P$506,"&lt;"&amp;P450)+COUNTIFS($U$7:U450,"Closed",$P$7:P450,P450))</f>
        <v/>
      </c>
    </row>
    <row r="451" customFormat="false" ht="15" hidden="false" customHeight="false" outlineLevel="0" collapsed="false">
      <c r="A451" s="13"/>
      <c r="B451" s="48"/>
      <c r="C451" s="48"/>
      <c r="D451" s="48"/>
      <c r="E451" s="15"/>
      <c r="F451" s="15"/>
      <c r="G451" s="16"/>
      <c r="H451" s="17"/>
      <c r="I451" s="17"/>
      <c r="J451" s="17"/>
      <c r="K451" s="17"/>
      <c r="L451" s="16"/>
      <c r="M451" s="17"/>
      <c r="N451" s="16"/>
      <c r="O451" s="17"/>
      <c r="P451" s="15"/>
      <c r="Q451" s="17"/>
      <c r="R451" s="17"/>
      <c r="S451" s="17"/>
      <c r="T451" s="17"/>
      <c r="U451" s="18" t="str">
        <f aca="false">IF(A451="","",IF(N(G451)-N(L451)-N(N451)&lt;0,"Check shares",IF(AND(P451&lt;&gt;"",Q451&lt;&gt;""),"Closed","Open")))</f>
        <v/>
      </c>
      <c r="V451" s="19" t="str">
        <f aca="false">IF(OR(F451="",P451=""),"",NETWORKDAYS(F451,P451,Lists!$F$5:$F$40)-1)</f>
        <v/>
      </c>
      <c r="W451" s="18" t="str">
        <f aca="false">IF(V451="","",IF(V451=0,"Same day","Overnight"))</f>
        <v/>
      </c>
      <c r="X451" s="18" t="str">
        <f aca="false">IF(OR(E451="",F451=""),"",IF(AND(E451&gt;=F451,OR(P451="",E451&lt;=P451)),"Yes","No"))</f>
        <v/>
      </c>
      <c r="Y451" s="20" t="str">
        <f aca="false">IF(A451="","",N(G451)-N(L451)-N(N451))</f>
        <v/>
      </c>
      <c r="Z451" s="21" t="str">
        <f aca="false">IF(OR(G451="",H451="",I451=""),"",ABS(H451-I451)*G451)</f>
        <v/>
      </c>
      <c r="AA451" s="22" t="str">
        <f aca="false">IF(OR(J451="",N(Z451)=0),"",ABS(J451-H451)/ABS(H451-I451))</f>
        <v/>
      </c>
      <c r="AB451" s="23" t="str">
        <f aca="false">IF(U451&lt;&gt;"Closed","",(N(L451)*N(M451)+N(N451)*N(O451)+Y451*Q451)/G451)</f>
        <v/>
      </c>
      <c r="AC451" s="24" t="str">
        <f aca="false">IF(U451&lt;&gt;"Closed","",IF($B451="Short",-1,1)*((N(M451)-H451)*N(L451)+(N(O451)-H451)*N(N451)+(Q451-H451)*Y451)-N(R451))</f>
        <v/>
      </c>
      <c r="AD451" s="25" t="str">
        <f aca="false">IF(OR(AC451="",N(Z451)=0),"",AC451/Z451)</f>
        <v/>
      </c>
      <c r="AE451" s="25" t="str">
        <f aca="false">IF(OR(S451="",N(Z451)=0),"",IF($B451="Short",-1,1)*(S451-H451)*G451/Z451)</f>
        <v/>
      </c>
      <c r="AF451" s="25" t="str">
        <f aca="false">IF(OR(T451="",N(Z451)=0),"",IF($B451="Short",-1,1)*(T451-H451)*G451/Z451)</f>
        <v/>
      </c>
      <c r="AG451" s="21" t="str">
        <f aca="false">IF(U451&lt;&gt;"Open","",Y451*MAX(0,IF($B451="Short",-1,1)*(H451-IF(K451="",I451,K451))))</f>
        <v/>
      </c>
      <c r="AH451" s="26" t="str">
        <f aca="false">IF(U451&lt;&gt;"Closed","",DATE(YEAR(P451),MONTH(P451),1))</f>
        <v/>
      </c>
      <c r="AI451" s="19" t="str">
        <f aca="false">IF(U451&lt;&gt;"Closed","",COUNTIFS($U$7:$U$506,"Closed",$P$7:$P$506,"&lt;"&amp;P451)+COUNTIFS($U$7:U451,"Closed",$P$7:P451,P451))</f>
        <v/>
      </c>
    </row>
    <row r="452" customFormat="false" ht="15" hidden="false" customHeight="false" outlineLevel="0" collapsed="false">
      <c r="A452" s="13"/>
      <c r="B452" s="48"/>
      <c r="C452" s="48"/>
      <c r="D452" s="48"/>
      <c r="E452" s="15"/>
      <c r="F452" s="15"/>
      <c r="G452" s="16"/>
      <c r="H452" s="17"/>
      <c r="I452" s="17"/>
      <c r="J452" s="17"/>
      <c r="K452" s="17"/>
      <c r="L452" s="16"/>
      <c r="M452" s="17"/>
      <c r="N452" s="16"/>
      <c r="O452" s="17"/>
      <c r="P452" s="15"/>
      <c r="Q452" s="17"/>
      <c r="R452" s="17"/>
      <c r="S452" s="17"/>
      <c r="T452" s="17"/>
      <c r="U452" s="18" t="str">
        <f aca="false">IF(A452="","",IF(N(G452)-N(L452)-N(N452)&lt;0,"Check shares",IF(AND(P452&lt;&gt;"",Q452&lt;&gt;""),"Closed","Open")))</f>
        <v/>
      </c>
      <c r="V452" s="19" t="str">
        <f aca="false">IF(OR(F452="",P452=""),"",NETWORKDAYS(F452,P452,Lists!$F$5:$F$40)-1)</f>
        <v/>
      </c>
      <c r="W452" s="18" t="str">
        <f aca="false">IF(V452="","",IF(V452=0,"Same day","Overnight"))</f>
        <v/>
      </c>
      <c r="X452" s="18" t="str">
        <f aca="false">IF(OR(E452="",F452=""),"",IF(AND(E452&gt;=F452,OR(P452="",E452&lt;=P452)),"Yes","No"))</f>
        <v/>
      </c>
      <c r="Y452" s="20" t="str">
        <f aca="false">IF(A452="","",N(G452)-N(L452)-N(N452))</f>
        <v/>
      </c>
      <c r="Z452" s="21" t="str">
        <f aca="false">IF(OR(G452="",H452="",I452=""),"",ABS(H452-I452)*G452)</f>
        <v/>
      </c>
      <c r="AA452" s="22" t="str">
        <f aca="false">IF(OR(J452="",N(Z452)=0),"",ABS(J452-H452)/ABS(H452-I452))</f>
        <v/>
      </c>
      <c r="AB452" s="23" t="str">
        <f aca="false">IF(U452&lt;&gt;"Closed","",(N(L452)*N(M452)+N(N452)*N(O452)+Y452*Q452)/G452)</f>
        <v/>
      </c>
      <c r="AC452" s="24" t="str">
        <f aca="false">IF(U452&lt;&gt;"Closed","",IF($B452="Short",-1,1)*((N(M452)-H452)*N(L452)+(N(O452)-H452)*N(N452)+(Q452-H452)*Y452)-N(R452))</f>
        <v/>
      </c>
      <c r="AD452" s="25" t="str">
        <f aca="false">IF(OR(AC452="",N(Z452)=0),"",AC452/Z452)</f>
        <v/>
      </c>
      <c r="AE452" s="25" t="str">
        <f aca="false">IF(OR(S452="",N(Z452)=0),"",IF($B452="Short",-1,1)*(S452-H452)*G452/Z452)</f>
        <v/>
      </c>
      <c r="AF452" s="25" t="str">
        <f aca="false">IF(OR(T452="",N(Z452)=0),"",IF($B452="Short",-1,1)*(T452-H452)*G452/Z452)</f>
        <v/>
      </c>
      <c r="AG452" s="21" t="str">
        <f aca="false">IF(U452&lt;&gt;"Open","",Y452*MAX(0,IF($B452="Short",-1,1)*(H452-IF(K452="",I452,K452))))</f>
        <v/>
      </c>
      <c r="AH452" s="26" t="str">
        <f aca="false">IF(U452&lt;&gt;"Closed","",DATE(YEAR(P452),MONTH(P452),1))</f>
        <v/>
      </c>
      <c r="AI452" s="19" t="str">
        <f aca="false">IF(U452&lt;&gt;"Closed","",COUNTIFS($U$7:$U$506,"Closed",$P$7:$P$506,"&lt;"&amp;P452)+COUNTIFS($U$7:U452,"Closed",$P$7:P452,P452))</f>
        <v/>
      </c>
    </row>
    <row r="453" customFormat="false" ht="15" hidden="false" customHeight="false" outlineLevel="0" collapsed="false">
      <c r="A453" s="13"/>
      <c r="B453" s="48"/>
      <c r="C453" s="48"/>
      <c r="D453" s="48"/>
      <c r="E453" s="15"/>
      <c r="F453" s="15"/>
      <c r="G453" s="16"/>
      <c r="H453" s="17"/>
      <c r="I453" s="17"/>
      <c r="J453" s="17"/>
      <c r="K453" s="17"/>
      <c r="L453" s="16"/>
      <c r="M453" s="17"/>
      <c r="N453" s="16"/>
      <c r="O453" s="17"/>
      <c r="P453" s="15"/>
      <c r="Q453" s="17"/>
      <c r="R453" s="17"/>
      <c r="S453" s="17"/>
      <c r="T453" s="17"/>
      <c r="U453" s="18" t="str">
        <f aca="false">IF(A453="","",IF(N(G453)-N(L453)-N(N453)&lt;0,"Check shares",IF(AND(P453&lt;&gt;"",Q453&lt;&gt;""),"Closed","Open")))</f>
        <v/>
      </c>
      <c r="V453" s="19" t="str">
        <f aca="false">IF(OR(F453="",P453=""),"",NETWORKDAYS(F453,P453,Lists!$F$5:$F$40)-1)</f>
        <v/>
      </c>
      <c r="W453" s="18" t="str">
        <f aca="false">IF(V453="","",IF(V453=0,"Same day","Overnight"))</f>
        <v/>
      </c>
      <c r="X453" s="18" t="str">
        <f aca="false">IF(OR(E453="",F453=""),"",IF(AND(E453&gt;=F453,OR(P453="",E453&lt;=P453)),"Yes","No"))</f>
        <v/>
      </c>
      <c r="Y453" s="20" t="str">
        <f aca="false">IF(A453="","",N(G453)-N(L453)-N(N453))</f>
        <v/>
      </c>
      <c r="Z453" s="21" t="str">
        <f aca="false">IF(OR(G453="",H453="",I453=""),"",ABS(H453-I453)*G453)</f>
        <v/>
      </c>
      <c r="AA453" s="22" t="str">
        <f aca="false">IF(OR(J453="",N(Z453)=0),"",ABS(J453-H453)/ABS(H453-I453))</f>
        <v/>
      </c>
      <c r="AB453" s="23" t="str">
        <f aca="false">IF(U453&lt;&gt;"Closed","",(N(L453)*N(M453)+N(N453)*N(O453)+Y453*Q453)/G453)</f>
        <v/>
      </c>
      <c r="AC453" s="24" t="str">
        <f aca="false">IF(U453&lt;&gt;"Closed","",IF($B453="Short",-1,1)*((N(M453)-H453)*N(L453)+(N(O453)-H453)*N(N453)+(Q453-H453)*Y453)-N(R453))</f>
        <v/>
      </c>
      <c r="AD453" s="25" t="str">
        <f aca="false">IF(OR(AC453="",N(Z453)=0),"",AC453/Z453)</f>
        <v/>
      </c>
      <c r="AE453" s="25" t="str">
        <f aca="false">IF(OR(S453="",N(Z453)=0),"",IF($B453="Short",-1,1)*(S453-H453)*G453/Z453)</f>
        <v/>
      </c>
      <c r="AF453" s="25" t="str">
        <f aca="false">IF(OR(T453="",N(Z453)=0),"",IF($B453="Short",-1,1)*(T453-H453)*G453/Z453)</f>
        <v/>
      </c>
      <c r="AG453" s="21" t="str">
        <f aca="false">IF(U453&lt;&gt;"Open","",Y453*MAX(0,IF($B453="Short",-1,1)*(H453-IF(K453="",I453,K453))))</f>
        <v/>
      </c>
      <c r="AH453" s="26" t="str">
        <f aca="false">IF(U453&lt;&gt;"Closed","",DATE(YEAR(P453),MONTH(P453),1))</f>
        <v/>
      </c>
      <c r="AI453" s="19" t="str">
        <f aca="false">IF(U453&lt;&gt;"Closed","",COUNTIFS($U$7:$U$506,"Closed",$P$7:$P$506,"&lt;"&amp;P453)+COUNTIFS($U$7:U453,"Closed",$P$7:P453,P453))</f>
        <v/>
      </c>
    </row>
    <row r="454" customFormat="false" ht="15" hidden="false" customHeight="false" outlineLevel="0" collapsed="false">
      <c r="A454" s="13"/>
      <c r="B454" s="48"/>
      <c r="C454" s="48"/>
      <c r="D454" s="48"/>
      <c r="E454" s="15"/>
      <c r="F454" s="15"/>
      <c r="G454" s="16"/>
      <c r="H454" s="17"/>
      <c r="I454" s="17"/>
      <c r="J454" s="17"/>
      <c r="K454" s="17"/>
      <c r="L454" s="16"/>
      <c r="M454" s="17"/>
      <c r="N454" s="16"/>
      <c r="O454" s="17"/>
      <c r="P454" s="15"/>
      <c r="Q454" s="17"/>
      <c r="R454" s="17"/>
      <c r="S454" s="17"/>
      <c r="T454" s="17"/>
      <c r="U454" s="18" t="str">
        <f aca="false">IF(A454="","",IF(N(G454)-N(L454)-N(N454)&lt;0,"Check shares",IF(AND(P454&lt;&gt;"",Q454&lt;&gt;""),"Closed","Open")))</f>
        <v/>
      </c>
      <c r="V454" s="19" t="str">
        <f aca="false">IF(OR(F454="",P454=""),"",NETWORKDAYS(F454,P454,Lists!$F$5:$F$40)-1)</f>
        <v/>
      </c>
      <c r="W454" s="18" t="str">
        <f aca="false">IF(V454="","",IF(V454=0,"Same day","Overnight"))</f>
        <v/>
      </c>
      <c r="X454" s="18" t="str">
        <f aca="false">IF(OR(E454="",F454=""),"",IF(AND(E454&gt;=F454,OR(P454="",E454&lt;=P454)),"Yes","No"))</f>
        <v/>
      </c>
      <c r="Y454" s="20" t="str">
        <f aca="false">IF(A454="","",N(G454)-N(L454)-N(N454))</f>
        <v/>
      </c>
      <c r="Z454" s="21" t="str">
        <f aca="false">IF(OR(G454="",H454="",I454=""),"",ABS(H454-I454)*G454)</f>
        <v/>
      </c>
      <c r="AA454" s="22" t="str">
        <f aca="false">IF(OR(J454="",N(Z454)=0),"",ABS(J454-H454)/ABS(H454-I454))</f>
        <v/>
      </c>
      <c r="AB454" s="23" t="str">
        <f aca="false">IF(U454&lt;&gt;"Closed","",(N(L454)*N(M454)+N(N454)*N(O454)+Y454*Q454)/G454)</f>
        <v/>
      </c>
      <c r="AC454" s="24" t="str">
        <f aca="false">IF(U454&lt;&gt;"Closed","",IF($B454="Short",-1,1)*((N(M454)-H454)*N(L454)+(N(O454)-H454)*N(N454)+(Q454-H454)*Y454)-N(R454))</f>
        <v/>
      </c>
      <c r="AD454" s="25" t="str">
        <f aca="false">IF(OR(AC454="",N(Z454)=0),"",AC454/Z454)</f>
        <v/>
      </c>
      <c r="AE454" s="25" t="str">
        <f aca="false">IF(OR(S454="",N(Z454)=0),"",IF($B454="Short",-1,1)*(S454-H454)*G454/Z454)</f>
        <v/>
      </c>
      <c r="AF454" s="25" t="str">
        <f aca="false">IF(OR(T454="",N(Z454)=0),"",IF($B454="Short",-1,1)*(T454-H454)*G454/Z454)</f>
        <v/>
      </c>
      <c r="AG454" s="21" t="str">
        <f aca="false">IF(U454&lt;&gt;"Open","",Y454*MAX(0,IF($B454="Short",-1,1)*(H454-IF(K454="",I454,K454))))</f>
        <v/>
      </c>
      <c r="AH454" s="26" t="str">
        <f aca="false">IF(U454&lt;&gt;"Closed","",DATE(YEAR(P454),MONTH(P454),1))</f>
        <v/>
      </c>
      <c r="AI454" s="19" t="str">
        <f aca="false">IF(U454&lt;&gt;"Closed","",COUNTIFS($U$7:$U$506,"Closed",$P$7:$P$506,"&lt;"&amp;P454)+COUNTIFS($U$7:U454,"Closed",$P$7:P454,P454))</f>
        <v/>
      </c>
    </row>
    <row r="455" customFormat="false" ht="15" hidden="false" customHeight="false" outlineLevel="0" collapsed="false">
      <c r="A455" s="13"/>
      <c r="B455" s="48"/>
      <c r="C455" s="48"/>
      <c r="D455" s="48"/>
      <c r="E455" s="15"/>
      <c r="F455" s="15"/>
      <c r="G455" s="16"/>
      <c r="H455" s="17"/>
      <c r="I455" s="17"/>
      <c r="J455" s="17"/>
      <c r="K455" s="17"/>
      <c r="L455" s="16"/>
      <c r="M455" s="17"/>
      <c r="N455" s="16"/>
      <c r="O455" s="17"/>
      <c r="P455" s="15"/>
      <c r="Q455" s="17"/>
      <c r="R455" s="17"/>
      <c r="S455" s="17"/>
      <c r="T455" s="17"/>
      <c r="U455" s="18" t="str">
        <f aca="false">IF(A455="","",IF(N(G455)-N(L455)-N(N455)&lt;0,"Check shares",IF(AND(P455&lt;&gt;"",Q455&lt;&gt;""),"Closed","Open")))</f>
        <v/>
      </c>
      <c r="V455" s="19" t="str">
        <f aca="false">IF(OR(F455="",P455=""),"",NETWORKDAYS(F455,P455,Lists!$F$5:$F$40)-1)</f>
        <v/>
      </c>
      <c r="W455" s="18" t="str">
        <f aca="false">IF(V455="","",IF(V455=0,"Same day","Overnight"))</f>
        <v/>
      </c>
      <c r="X455" s="18" t="str">
        <f aca="false">IF(OR(E455="",F455=""),"",IF(AND(E455&gt;=F455,OR(P455="",E455&lt;=P455)),"Yes","No"))</f>
        <v/>
      </c>
      <c r="Y455" s="20" t="str">
        <f aca="false">IF(A455="","",N(G455)-N(L455)-N(N455))</f>
        <v/>
      </c>
      <c r="Z455" s="21" t="str">
        <f aca="false">IF(OR(G455="",H455="",I455=""),"",ABS(H455-I455)*G455)</f>
        <v/>
      </c>
      <c r="AA455" s="22" t="str">
        <f aca="false">IF(OR(J455="",N(Z455)=0),"",ABS(J455-H455)/ABS(H455-I455))</f>
        <v/>
      </c>
      <c r="AB455" s="23" t="str">
        <f aca="false">IF(U455&lt;&gt;"Closed","",(N(L455)*N(M455)+N(N455)*N(O455)+Y455*Q455)/G455)</f>
        <v/>
      </c>
      <c r="AC455" s="24" t="str">
        <f aca="false">IF(U455&lt;&gt;"Closed","",IF($B455="Short",-1,1)*((N(M455)-H455)*N(L455)+(N(O455)-H455)*N(N455)+(Q455-H455)*Y455)-N(R455))</f>
        <v/>
      </c>
      <c r="AD455" s="25" t="str">
        <f aca="false">IF(OR(AC455="",N(Z455)=0),"",AC455/Z455)</f>
        <v/>
      </c>
      <c r="AE455" s="25" t="str">
        <f aca="false">IF(OR(S455="",N(Z455)=0),"",IF($B455="Short",-1,1)*(S455-H455)*G455/Z455)</f>
        <v/>
      </c>
      <c r="AF455" s="25" t="str">
        <f aca="false">IF(OR(T455="",N(Z455)=0),"",IF($B455="Short",-1,1)*(T455-H455)*G455/Z455)</f>
        <v/>
      </c>
      <c r="AG455" s="21" t="str">
        <f aca="false">IF(U455&lt;&gt;"Open","",Y455*MAX(0,IF($B455="Short",-1,1)*(H455-IF(K455="",I455,K455))))</f>
        <v/>
      </c>
      <c r="AH455" s="26" t="str">
        <f aca="false">IF(U455&lt;&gt;"Closed","",DATE(YEAR(P455),MONTH(P455),1))</f>
        <v/>
      </c>
      <c r="AI455" s="19" t="str">
        <f aca="false">IF(U455&lt;&gt;"Closed","",COUNTIFS($U$7:$U$506,"Closed",$P$7:$P$506,"&lt;"&amp;P455)+COUNTIFS($U$7:U455,"Closed",$P$7:P455,P455))</f>
        <v/>
      </c>
    </row>
    <row r="456" customFormat="false" ht="15" hidden="false" customHeight="false" outlineLevel="0" collapsed="false">
      <c r="A456" s="13"/>
      <c r="B456" s="48"/>
      <c r="C456" s="48"/>
      <c r="D456" s="48"/>
      <c r="E456" s="15"/>
      <c r="F456" s="15"/>
      <c r="G456" s="16"/>
      <c r="H456" s="17"/>
      <c r="I456" s="17"/>
      <c r="J456" s="17"/>
      <c r="K456" s="17"/>
      <c r="L456" s="16"/>
      <c r="M456" s="17"/>
      <c r="N456" s="16"/>
      <c r="O456" s="17"/>
      <c r="P456" s="15"/>
      <c r="Q456" s="17"/>
      <c r="R456" s="17"/>
      <c r="S456" s="17"/>
      <c r="T456" s="17"/>
      <c r="U456" s="18" t="str">
        <f aca="false">IF(A456="","",IF(N(G456)-N(L456)-N(N456)&lt;0,"Check shares",IF(AND(P456&lt;&gt;"",Q456&lt;&gt;""),"Closed","Open")))</f>
        <v/>
      </c>
      <c r="V456" s="19" t="str">
        <f aca="false">IF(OR(F456="",P456=""),"",NETWORKDAYS(F456,P456,Lists!$F$5:$F$40)-1)</f>
        <v/>
      </c>
      <c r="W456" s="18" t="str">
        <f aca="false">IF(V456="","",IF(V456=0,"Same day","Overnight"))</f>
        <v/>
      </c>
      <c r="X456" s="18" t="str">
        <f aca="false">IF(OR(E456="",F456=""),"",IF(AND(E456&gt;=F456,OR(P456="",E456&lt;=P456)),"Yes","No"))</f>
        <v/>
      </c>
      <c r="Y456" s="20" t="str">
        <f aca="false">IF(A456="","",N(G456)-N(L456)-N(N456))</f>
        <v/>
      </c>
      <c r="Z456" s="21" t="str">
        <f aca="false">IF(OR(G456="",H456="",I456=""),"",ABS(H456-I456)*G456)</f>
        <v/>
      </c>
      <c r="AA456" s="22" t="str">
        <f aca="false">IF(OR(J456="",N(Z456)=0),"",ABS(J456-H456)/ABS(H456-I456))</f>
        <v/>
      </c>
      <c r="AB456" s="23" t="str">
        <f aca="false">IF(U456&lt;&gt;"Closed","",(N(L456)*N(M456)+N(N456)*N(O456)+Y456*Q456)/G456)</f>
        <v/>
      </c>
      <c r="AC456" s="24" t="str">
        <f aca="false">IF(U456&lt;&gt;"Closed","",IF($B456="Short",-1,1)*((N(M456)-H456)*N(L456)+(N(O456)-H456)*N(N456)+(Q456-H456)*Y456)-N(R456))</f>
        <v/>
      </c>
      <c r="AD456" s="25" t="str">
        <f aca="false">IF(OR(AC456="",N(Z456)=0),"",AC456/Z456)</f>
        <v/>
      </c>
      <c r="AE456" s="25" t="str">
        <f aca="false">IF(OR(S456="",N(Z456)=0),"",IF($B456="Short",-1,1)*(S456-H456)*G456/Z456)</f>
        <v/>
      </c>
      <c r="AF456" s="25" t="str">
        <f aca="false">IF(OR(T456="",N(Z456)=0),"",IF($B456="Short",-1,1)*(T456-H456)*G456/Z456)</f>
        <v/>
      </c>
      <c r="AG456" s="21" t="str">
        <f aca="false">IF(U456&lt;&gt;"Open","",Y456*MAX(0,IF($B456="Short",-1,1)*(H456-IF(K456="",I456,K456))))</f>
        <v/>
      </c>
      <c r="AH456" s="26" t="str">
        <f aca="false">IF(U456&lt;&gt;"Closed","",DATE(YEAR(P456),MONTH(P456),1))</f>
        <v/>
      </c>
      <c r="AI456" s="19" t="str">
        <f aca="false">IF(U456&lt;&gt;"Closed","",COUNTIFS($U$7:$U$506,"Closed",$P$7:$P$506,"&lt;"&amp;P456)+COUNTIFS($U$7:U456,"Closed",$P$7:P456,P456))</f>
        <v/>
      </c>
    </row>
    <row r="457" customFormat="false" ht="15" hidden="false" customHeight="false" outlineLevel="0" collapsed="false">
      <c r="A457" s="13"/>
      <c r="B457" s="48"/>
      <c r="C457" s="48"/>
      <c r="D457" s="48"/>
      <c r="E457" s="15"/>
      <c r="F457" s="15"/>
      <c r="G457" s="16"/>
      <c r="H457" s="17"/>
      <c r="I457" s="17"/>
      <c r="J457" s="17"/>
      <c r="K457" s="17"/>
      <c r="L457" s="16"/>
      <c r="M457" s="17"/>
      <c r="N457" s="16"/>
      <c r="O457" s="17"/>
      <c r="P457" s="15"/>
      <c r="Q457" s="17"/>
      <c r="R457" s="17"/>
      <c r="S457" s="17"/>
      <c r="T457" s="17"/>
      <c r="U457" s="18" t="str">
        <f aca="false">IF(A457="","",IF(N(G457)-N(L457)-N(N457)&lt;0,"Check shares",IF(AND(P457&lt;&gt;"",Q457&lt;&gt;""),"Closed","Open")))</f>
        <v/>
      </c>
      <c r="V457" s="19" t="str">
        <f aca="false">IF(OR(F457="",P457=""),"",NETWORKDAYS(F457,P457,Lists!$F$5:$F$40)-1)</f>
        <v/>
      </c>
      <c r="W457" s="18" t="str">
        <f aca="false">IF(V457="","",IF(V457=0,"Same day","Overnight"))</f>
        <v/>
      </c>
      <c r="X457" s="18" t="str">
        <f aca="false">IF(OR(E457="",F457=""),"",IF(AND(E457&gt;=F457,OR(P457="",E457&lt;=P457)),"Yes","No"))</f>
        <v/>
      </c>
      <c r="Y457" s="20" t="str">
        <f aca="false">IF(A457="","",N(G457)-N(L457)-N(N457))</f>
        <v/>
      </c>
      <c r="Z457" s="21" t="str">
        <f aca="false">IF(OR(G457="",H457="",I457=""),"",ABS(H457-I457)*G457)</f>
        <v/>
      </c>
      <c r="AA457" s="22" t="str">
        <f aca="false">IF(OR(J457="",N(Z457)=0),"",ABS(J457-H457)/ABS(H457-I457))</f>
        <v/>
      </c>
      <c r="AB457" s="23" t="str">
        <f aca="false">IF(U457&lt;&gt;"Closed","",(N(L457)*N(M457)+N(N457)*N(O457)+Y457*Q457)/G457)</f>
        <v/>
      </c>
      <c r="AC457" s="24" t="str">
        <f aca="false">IF(U457&lt;&gt;"Closed","",IF($B457="Short",-1,1)*((N(M457)-H457)*N(L457)+(N(O457)-H457)*N(N457)+(Q457-H457)*Y457)-N(R457))</f>
        <v/>
      </c>
      <c r="AD457" s="25" t="str">
        <f aca="false">IF(OR(AC457="",N(Z457)=0),"",AC457/Z457)</f>
        <v/>
      </c>
      <c r="AE457" s="25" t="str">
        <f aca="false">IF(OR(S457="",N(Z457)=0),"",IF($B457="Short",-1,1)*(S457-H457)*G457/Z457)</f>
        <v/>
      </c>
      <c r="AF457" s="25" t="str">
        <f aca="false">IF(OR(T457="",N(Z457)=0),"",IF($B457="Short",-1,1)*(T457-H457)*G457/Z457)</f>
        <v/>
      </c>
      <c r="AG457" s="21" t="str">
        <f aca="false">IF(U457&lt;&gt;"Open","",Y457*MAX(0,IF($B457="Short",-1,1)*(H457-IF(K457="",I457,K457))))</f>
        <v/>
      </c>
      <c r="AH457" s="26" t="str">
        <f aca="false">IF(U457&lt;&gt;"Closed","",DATE(YEAR(P457),MONTH(P457),1))</f>
        <v/>
      </c>
      <c r="AI457" s="19" t="str">
        <f aca="false">IF(U457&lt;&gt;"Closed","",COUNTIFS($U$7:$U$506,"Closed",$P$7:$P$506,"&lt;"&amp;P457)+COUNTIFS($U$7:U457,"Closed",$P$7:P457,P457))</f>
        <v/>
      </c>
    </row>
    <row r="458" customFormat="false" ht="15" hidden="false" customHeight="false" outlineLevel="0" collapsed="false">
      <c r="A458" s="13"/>
      <c r="B458" s="48"/>
      <c r="C458" s="48"/>
      <c r="D458" s="48"/>
      <c r="E458" s="15"/>
      <c r="F458" s="15"/>
      <c r="G458" s="16"/>
      <c r="H458" s="17"/>
      <c r="I458" s="17"/>
      <c r="J458" s="17"/>
      <c r="K458" s="17"/>
      <c r="L458" s="16"/>
      <c r="M458" s="17"/>
      <c r="N458" s="16"/>
      <c r="O458" s="17"/>
      <c r="P458" s="15"/>
      <c r="Q458" s="17"/>
      <c r="R458" s="17"/>
      <c r="S458" s="17"/>
      <c r="T458" s="17"/>
      <c r="U458" s="18" t="str">
        <f aca="false">IF(A458="","",IF(N(G458)-N(L458)-N(N458)&lt;0,"Check shares",IF(AND(P458&lt;&gt;"",Q458&lt;&gt;""),"Closed","Open")))</f>
        <v/>
      </c>
      <c r="V458" s="19" t="str">
        <f aca="false">IF(OR(F458="",P458=""),"",NETWORKDAYS(F458,P458,Lists!$F$5:$F$40)-1)</f>
        <v/>
      </c>
      <c r="W458" s="18" t="str">
        <f aca="false">IF(V458="","",IF(V458=0,"Same day","Overnight"))</f>
        <v/>
      </c>
      <c r="X458" s="18" t="str">
        <f aca="false">IF(OR(E458="",F458=""),"",IF(AND(E458&gt;=F458,OR(P458="",E458&lt;=P458)),"Yes","No"))</f>
        <v/>
      </c>
      <c r="Y458" s="20" t="str">
        <f aca="false">IF(A458="","",N(G458)-N(L458)-N(N458))</f>
        <v/>
      </c>
      <c r="Z458" s="21" t="str">
        <f aca="false">IF(OR(G458="",H458="",I458=""),"",ABS(H458-I458)*G458)</f>
        <v/>
      </c>
      <c r="AA458" s="22" t="str">
        <f aca="false">IF(OR(J458="",N(Z458)=0),"",ABS(J458-H458)/ABS(H458-I458))</f>
        <v/>
      </c>
      <c r="AB458" s="23" t="str">
        <f aca="false">IF(U458&lt;&gt;"Closed","",(N(L458)*N(M458)+N(N458)*N(O458)+Y458*Q458)/G458)</f>
        <v/>
      </c>
      <c r="AC458" s="24" t="str">
        <f aca="false">IF(U458&lt;&gt;"Closed","",IF($B458="Short",-1,1)*((N(M458)-H458)*N(L458)+(N(O458)-H458)*N(N458)+(Q458-H458)*Y458)-N(R458))</f>
        <v/>
      </c>
      <c r="AD458" s="25" t="str">
        <f aca="false">IF(OR(AC458="",N(Z458)=0),"",AC458/Z458)</f>
        <v/>
      </c>
      <c r="AE458" s="25" t="str">
        <f aca="false">IF(OR(S458="",N(Z458)=0),"",IF($B458="Short",-1,1)*(S458-H458)*G458/Z458)</f>
        <v/>
      </c>
      <c r="AF458" s="25" t="str">
        <f aca="false">IF(OR(T458="",N(Z458)=0),"",IF($B458="Short",-1,1)*(T458-H458)*G458/Z458)</f>
        <v/>
      </c>
      <c r="AG458" s="21" t="str">
        <f aca="false">IF(U458&lt;&gt;"Open","",Y458*MAX(0,IF($B458="Short",-1,1)*(H458-IF(K458="",I458,K458))))</f>
        <v/>
      </c>
      <c r="AH458" s="26" t="str">
        <f aca="false">IF(U458&lt;&gt;"Closed","",DATE(YEAR(P458),MONTH(P458),1))</f>
        <v/>
      </c>
      <c r="AI458" s="19" t="str">
        <f aca="false">IF(U458&lt;&gt;"Closed","",COUNTIFS($U$7:$U$506,"Closed",$P$7:$P$506,"&lt;"&amp;P458)+COUNTIFS($U$7:U458,"Closed",$P$7:P458,P458))</f>
        <v/>
      </c>
    </row>
    <row r="459" customFormat="false" ht="15" hidden="false" customHeight="false" outlineLevel="0" collapsed="false">
      <c r="A459" s="13"/>
      <c r="B459" s="48"/>
      <c r="C459" s="48"/>
      <c r="D459" s="48"/>
      <c r="E459" s="15"/>
      <c r="F459" s="15"/>
      <c r="G459" s="16"/>
      <c r="H459" s="17"/>
      <c r="I459" s="17"/>
      <c r="J459" s="17"/>
      <c r="K459" s="17"/>
      <c r="L459" s="16"/>
      <c r="M459" s="17"/>
      <c r="N459" s="16"/>
      <c r="O459" s="17"/>
      <c r="P459" s="15"/>
      <c r="Q459" s="17"/>
      <c r="R459" s="17"/>
      <c r="S459" s="17"/>
      <c r="T459" s="17"/>
      <c r="U459" s="18" t="str">
        <f aca="false">IF(A459="","",IF(N(G459)-N(L459)-N(N459)&lt;0,"Check shares",IF(AND(P459&lt;&gt;"",Q459&lt;&gt;""),"Closed","Open")))</f>
        <v/>
      </c>
      <c r="V459" s="19" t="str">
        <f aca="false">IF(OR(F459="",P459=""),"",NETWORKDAYS(F459,P459,Lists!$F$5:$F$40)-1)</f>
        <v/>
      </c>
      <c r="W459" s="18" t="str">
        <f aca="false">IF(V459="","",IF(V459=0,"Same day","Overnight"))</f>
        <v/>
      </c>
      <c r="X459" s="18" t="str">
        <f aca="false">IF(OR(E459="",F459=""),"",IF(AND(E459&gt;=F459,OR(P459="",E459&lt;=P459)),"Yes","No"))</f>
        <v/>
      </c>
      <c r="Y459" s="20" t="str">
        <f aca="false">IF(A459="","",N(G459)-N(L459)-N(N459))</f>
        <v/>
      </c>
      <c r="Z459" s="21" t="str">
        <f aca="false">IF(OR(G459="",H459="",I459=""),"",ABS(H459-I459)*G459)</f>
        <v/>
      </c>
      <c r="AA459" s="22" t="str">
        <f aca="false">IF(OR(J459="",N(Z459)=0),"",ABS(J459-H459)/ABS(H459-I459))</f>
        <v/>
      </c>
      <c r="AB459" s="23" t="str">
        <f aca="false">IF(U459&lt;&gt;"Closed","",(N(L459)*N(M459)+N(N459)*N(O459)+Y459*Q459)/G459)</f>
        <v/>
      </c>
      <c r="AC459" s="24" t="str">
        <f aca="false">IF(U459&lt;&gt;"Closed","",IF($B459="Short",-1,1)*((N(M459)-H459)*N(L459)+(N(O459)-H459)*N(N459)+(Q459-H459)*Y459)-N(R459))</f>
        <v/>
      </c>
      <c r="AD459" s="25" t="str">
        <f aca="false">IF(OR(AC459="",N(Z459)=0),"",AC459/Z459)</f>
        <v/>
      </c>
      <c r="AE459" s="25" t="str">
        <f aca="false">IF(OR(S459="",N(Z459)=0),"",IF($B459="Short",-1,1)*(S459-H459)*G459/Z459)</f>
        <v/>
      </c>
      <c r="AF459" s="25" t="str">
        <f aca="false">IF(OR(T459="",N(Z459)=0),"",IF($B459="Short",-1,1)*(T459-H459)*G459/Z459)</f>
        <v/>
      </c>
      <c r="AG459" s="21" t="str">
        <f aca="false">IF(U459&lt;&gt;"Open","",Y459*MAX(0,IF($B459="Short",-1,1)*(H459-IF(K459="",I459,K459))))</f>
        <v/>
      </c>
      <c r="AH459" s="26" t="str">
        <f aca="false">IF(U459&lt;&gt;"Closed","",DATE(YEAR(P459),MONTH(P459),1))</f>
        <v/>
      </c>
      <c r="AI459" s="19" t="str">
        <f aca="false">IF(U459&lt;&gt;"Closed","",COUNTIFS($U$7:$U$506,"Closed",$P$7:$P$506,"&lt;"&amp;P459)+COUNTIFS($U$7:U459,"Closed",$P$7:P459,P459))</f>
        <v/>
      </c>
    </row>
    <row r="460" customFormat="false" ht="15" hidden="false" customHeight="false" outlineLevel="0" collapsed="false">
      <c r="A460" s="13"/>
      <c r="B460" s="48"/>
      <c r="C460" s="48"/>
      <c r="D460" s="48"/>
      <c r="E460" s="15"/>
      <c r="F460" s="15"/>
      <c r="G460" s="16"/>
      <c r="H460" s="17"/>
      <c r="I460" s="17"/>
      <c r="J460" s="17"/>
      <c r="K460" s="17"/>
      <c r="L460" s="16"/>
      <c r="M460" s="17"/>
      <c r="N460" s="16"/>
      <c r="O460" s="17"/>
      <c r="P460" s="15"/>
      <c r="Q460" s="17"/>
      <c r="R460" s="17"/>
      <c r="S460" s="17"/>
      <c r="T460" s="17"/>
      <c r="U460" s="18" t="str">
        <f aca="false">IF(A460="","",IF(N(G460)-N(L460)-N(N460)&lt;0,"Check shares",IF(AND(P460&lt;&gt;"",Q460&lt;&gt;""),"Closed","Open")))</f>
        <v/>
      </c>
      <c r="V460" s="19" t="str">
        <f aca="false">IF(OR(F460="",P460=""),"",NETWORKDAYS(F460,P460,Lists!$F$5:$F$40)-1)</f>
        <v/>
      </c>
      <c r="W460" s="18" t="str">
        <f aca="false">IF(V460="","",IF(V460=0,"Same day","Overnight"))</f>
        <v/>
      </c>
      <c r="X460" s="18" t="str">
        <f aca="false">IF(OR(E460="",F460=""),"",IF(AND(E460&gt;=F460,OR(P460="",E460&lt;=P460)),"Yes","No"))</f>
        <v/>
      </c>
      <c r="Y460" s="20" t="str">
        <f aca="false">IF(A460="","",N(G460)-N(L460)-N(N460))</f>
        <v/>
      </c>
      <c r="Z460" s="21" t="str">
        <f aca="false">IF(OR(G460="",H460="",I460=""),"",ABS(H460-I460)*G460)</f>
        <v/>
      </c>
      <c r="AA460" s="22" t="str">
        <f aca="false">IF(OR(J460="",N(Z460)=0),"",ABS(J460-H460)/ABS(H460-I460))</f>
        <v/>
      </c>
      <c r="AB460" s="23" t="str">
        <f aca="false">IF(U460&lt;&gt;"Closed","",(N(L460)*N(M460)+N(N460)*N(O460)+Y460*Q460)/G460)</f>
        <v/>
      </c>
      <c r="AC460" s="24" t="str">
        <f aca="false">IF(U460&lt;&gt;"Closed","",IF($B460="Short",-1,1)*((N(M460)-H460)*N(L460)+(N(O460)-H460)*N(N460)+(Q460-H460)*Y460)-N(R460))</f>
        <v/>
      </c>
      <c r="AD460" s="25" t="str">
        <f aca="false">IF(OR(AC460="",N(Z460)=0),"",AC460/Z460)</f>
        <v/>
      </c>
      <c r="AE460" s="25" t="str">
        <f aca="false">IF(OR(S460="",N(Z460)=0),"",IF($B460="Short",-1,1)*(S460-H460)*G460/Z460)</f>
        <v/>
      </c>
      <c r="AF460" s="25" t="str">
        <f aca="false">IF(OR(T460="",N(Z460)=0),"",IF($B460="Short",-1,1)*(T460-H460)*G460/Z460)</f>
        <v/>
      </c>
      <c r="AG460" s="21" t="str">
        <f aca="false">IF(U460&lt;&gt;"Open","",Y460*MAX(0,IF($B460="Short",-1,1)*(H460-IF(K460="",I460,K460))))</f>
        <v/>
      </c>
      <c r="AH460" s="26" t="str">
        <f aca="false">IF(U460&lt;&gt;"Closed","",DATE(YEAR(P460),MONTH(P460),1))</f>
        <v/>
      </c>
      <c r="AI460" s="19" t="str">
        <f aca="false">IF(U460&lt;&gt;"Closed","",COUNTIFS($U$7:$U$506,"Closed",$P$7:$P$506,"&lt;"&amp;P460)+COUNTIFS($U$7:U460,"Closed",$P$7:P460,P460))</f>
        <v/>
      </c>
    </row>
    <row r="461" customFormat="false" ht="15" hidden="false" customHeight="false" outlineLevel="0" collapsed="false">
      <c r="A461" s="13"/>
      <c r="B461" s="48"/>
      <c r="C461" s="48"/>
      <c r="D461" s="48"/>
      <c r="E461" s="15"/>
      <c r="F461" s="15"/>
      <c r="G461" s="16"/>
      <c r="H461" s="17"/>
      <c r="I461" s="17"/>
      <c r="J461" s="17"/>
      <c r="K461" s="17"/>
      <c r="L461" s="16"/>
      <c r="M461" s="17"/>
      <c r="N461" s="16"/>
      <c r="O461" s="17"/>
      <c r="P461" s="15"/>
      <c r="Q461" s="17"/>
      <c r="R461" s="17"/>
      <c r="S461" s="17"/>
      <c r="T461" s="17"/>
      <c r="U461" s="18" t="str">
        <f aca="false">IF(A461="","",IF(N(G461)-N(L461)-N(N461)&lt;0,"Check shares",IF(AND(P461&lt;&gt;"",Q461&lt;&gt;""),"Closed","Open")))</f>
        <v/>
      </c>
      <c r="V461" s="19" t="str">
        <f aca="false">IF(OR(F461="",P461=""),"",NETWORKDAYS(F461,P461,Lists!$F$5:$F$40)-1)</f>
        <v/>
      </c>
      <c r="W461" s="18" t="str">
        <f aca="false">IF(V461="","",IF(V461=0,"Same day","Overnight"))</f>
        <v/>
      </c>
      <c r="X461" s="18" t="str">
        <f aca="false">IF(OR(E461="",F461=""),"",IF(AND(E461&gt;=F461,OR(P461="",E461&lt;=P461)),"Yes","No"))</f>
        <v/>
      </c>
      <c r="Y461" s="20" t="str">
        <f aca="false">IF(A461="","",N(G461)-N(L461)-N(N461))</f>
        <v/>
      </c>
      <c r="Z461" s="21" t="str">
        <f aca="false">IF(OR(G461="",H461="",I461=""),"",ABS(H461-I461)*G461)</f>
        <v/>
      </c>
      <c r="AA461" s="22" t="str">
        <f aca="false">IF(OR(J461="",N(Z461)=0),"",ABS(J461-H461)/ABS(H461-I461))</f>
        <v/>
      </c>
      <c r="AB461" s="23" t="str">
        <f aca="false">IF(U461&lt;&gt;"Closed","",(N(L461)*N(M461)+N(N461)*N(O461)+Y461*Q461)/G461)</f>
        <v/>
      </c>
      <c r="AC461" s="24" t="str">
        <f aca="false">IF(U461&lt;&gt;"Closed","",IF($B461="Short",-1,1)*((N(M461)-H461)*N(L461)+(N(O461)-H461)*N(N461)+(Q461-H461)*Y461)-N(R461))</f>
        <v/>
      </c>
      <c r="AD461" s="25" t="str">
        <f aca="false">IF(OR(AC461="",N(Z461)=0),"",AC461/Z461)</f>
        <v/>
      </c>
      <c r="AE461" s="25" t="str">
        <f aca="false">IF(OR(S461="",N(Z461)=0),"",IF($B461="Short",-1,1)*(S461-H461)*G461/Z461)</f>
        <v/>
      </c>
      <c r="AF461" s="25" t="str">
        <f aca="false">IF(OR(T461="",N(Z461)=0),"",IF($B461="Short",-1,1)*(T461-H461)*G461/Z461)</f>
        <v/>
      </c>
      <c r="AG461" s="21" t="str">
        <f aca="false">IF(U461&lt;&gt;"Open","",Y461*MAX(0,IF($B461="Short",-1,1)*(H461-IF(K461="",I461,K461))))</f>
        <v/>
      </c>
      <c r="AH461" s="26" t="str">
        <f aca="false">IF(U461&lt;&gt;"Closed","",DATE(YEAR(P461),MONTH(P461),1))</f>
        <v/>
      </c>
      <c r="AI461" s="19" t="str">
        <f aca="false">IF(U461&lt;&gt;"Closed","",COUNTIFS($U$7:$U$506,"Closed",$P$7:$P$506,"&lt;"&amp;P461)+COUNTIFS($U$7:U461,"Closed",$P$7:P461,P461))</f>
        <v/>
      </c>
    </row>
    <row r="462" customFormat="false" ht="15" hidden="false" customHeight="false" outlineLevel="0" collapsed="false">
      <c r="A462" s="13"/>
      <c r="B462" s="48"/>
      <c r="C462" s="48"/>
      <c r="D462" s="48"/>
      <c r="E462" s="15"/>
      <c r="F462" s="15"/>
      <c r="G462" s="16"/>
      <c r="H462" s="17"/>
      <c r="I462" s="17"/>
      <c r="J462" s="17"/>
      <c r="K462" s="17"/>
      <c r="L462" s="16"/>
      <c r="M462" s="17"/>
      <c r="N462" s="16"/>
      <c r="O462" s="17"/>
      <c r="P462" s="15"/>
      <c r="Q462" s="17"/>
      <c r="R462" s="17"/>
      <c r="S462" s="17"/>
      <c r="T462" s="17"/>
      <c r="U462" s="18" t="str">
        <f aca="false">IF(A462="","",IF(N(G462)-N(L462)-N(N462)&lt;0,"Check shares",IF(AND(P462&lt;&gt;"",Q462&lt;&gt;""),"Closed","Open")))</f>
        <v/>
      </c>
      <c r="V462" s="19" t="str">
        <f aca="false">IF(OR(F462="",P462=""),"",NETWORKDAYS(F462,P462,Lists!$F$5:$F$40)-1)</f>
        <v/>
      </c>
      <c r="W462" s="18" t="str">
        <f aca="false">IF(V462="","",IF(V462=0,"Same day","Overnight"))</f>
        <v/>
      </c>
      <c r="X462" s="18" t="str">
        <f aca="false">IF(OR(E462="",F462=""),"",IF(AND(E462&gt;=F462,OR(P462="",E462&lt;=P462)),"Yes","No"))</f>
        <v/>
      </c>
      <c r="Y462" s="20" t="str">
        <f aca="false">IF(A462="","",N(G462)-N(L462)-N(N462))</f>
        <v/>
      </c>
      <c r="Z462" s="21" t="str">
        <f aca="false">IF(OR(G462="",H462="",I462=""),"",ABS(H462-I462)*G462)</f>
        <v/>
      </c>
      <c r="AA462" s="22" t="str">
        <f aca="false">IF(OR(J462="",N(Z462)=0),"",ABS(J462-H462)/ABS(H462-I462))</f>
        <v/>
      </c>
      <c r="AB462" s="23" t="str">
        <f aca="false">IF(U462&lt;&gt;"Closed","",(N(L462)*N(M462)+N(N462)*N(O462)+Y462*Q462)/G462)</f>
        <v/>
      </c>
      <c r="AC462" s="24" t="str">
        <f aca="false">IF(U462&lt;&gt;"Closed","",IF($B462="Short",-1,1)*((N(M462)-H462)*N(L462)+(N(O462)-H462)*N(N462)+(Q462-H462)*Y462)-N(R462))</f>
        <v/>
      </c>
      <c r="AD462" s="25" t="str">
        <f aca="false">IF(OR(AC462="",N(Z462)=0),"",AC462/Z462)</f>
        <v/>
      </c>
      <c r="AE462" s="25" t="str">
        <f aca="false">IF(OR(S462="",N(Z462)=0),"",IF($B462="Short",-1,1)*(S462-H462)*G462/Z462)</f>
        <v/>
      </c>
      <c r="AF462" s="25" t="str">
        <f aca="false">IF(OR(T462="",N(Z462)=0),"",IF($B462="Short",-1,1)*(T462-H462)*G462/Z462)</f>
        <v/>
      </c>
      <c r="AG462" s="21" t="str">
        <f aca="false">IF(U462&lt;&gt;"Open","",Y462*MAX(0,IF($B462="Short",-1,1)*(H462-IF(K462="",I462,K462))))</f>
        <v/>
      </c>
      <c r="AH462" s="26" t="str">
        <f aca="false">IF(U462&lt;&gt;"Closed","",DATE(YEAR(P462),MONTH(P462),1))</f>
        <v/>
      </c>
      <c r="AI462" s="19" t="str">
        <f aca="false">IF(U462&lt;&gt;"Closed","",COUNTIFS($U$7:$U$506,"Closed",$P$7:$P$506,"&lt;"&amp;P462)+COUNTIFS($U$7:U462,"Closed",$P$7:P462,P462))</f>
        <v/>
      </c>
    </row>
    <row r="463" customFormat="false" ht="15" hidden="false" customHeight="false" outlineLevel="0" collapsed="false">
      <c r="A463" s="13"/>
      <c r="B463" s="48"/>
      <c r="C463" s="48"/>
      <c r="D463" s="48"/>
      <c r="E463" s="15"/>
      <c r="F463" s="15"/>
      <c r="G463" s="16"/>
      <c r="H463" s="17"/>
      <c r="I463" s="17"/>
      <c r="J463" s="17"/>
      <c r="K463" s="17"/>
      <c r="L463" s="16"/>
      <c r="M463" s="17"/>
      <c r="N463" s="16"/>
      <c r="O463" s="17"/>
      <c r="P463" s="15"/>
      <c r="Q463" s="17"/>
      <c r="R463" s="17"/>
      <c r="S463" s="17"/>
      <c r="T463" s="17"/>
      <c r="U463" s="18" t="str">
        <f aca="false">IF(A463="","",IF(N(G463)-N(L463)-N(N463)&lt;0,"Check shares",IF(AND(P463&lt;&gt;"",Q463&lt;&gt;""),"Closed","Open")))</f>
        <v/>
      </c>
      <c r="V463" s="19" t="str">
        <f aca="false">IF(OR(F463="",P463=""),"",NETWORKDAYS(F463,P463,Lists!$F$5:$F$40)-1)</f>
        <v/>
      </c>
      <c r="W463" s="18" t="str">
        <f aca="false">IF(V463="","",IF(V463=0,"Same day","Overnight"))</f>
        <v/>
      </c>
      <c r="X463" s="18" t="str">
        <f aca="false">IF(OR(E463="",F463=""),"",IF(AND(E463&gt;=F463,OR(P463="",E463&lt;=P463)),"Yes","No"))</f>
        <v/>
      </c>
      <c r="Y463" s="20" t="str">
        <f aca="false">IF(A463="","",N(G463)-N(L463)-N(N463))</f>
        <v/>
      </c>
      <c r="Z463" s="21" t="str">
        <f aca="false">IF(OR(G463="",H463="",I463=""),"",ABS(H463-I463)*G463)</f>
        <v/>
      </c>
      <c r="AA463" s="22" t="str">
        <f aca="false">IF(OR(J463="",N(Z463)=0),"",ABS(J463-H463)/ABS(H463-I463))</f>
        <v/>
      </c>
      <c r="AB463" s="23" t="str">
        <f aca="false">IF(U463&lt;&gt;"Closed","",(N(L463)*N(M463)+N(N463)*N(O463)+Y463*Q463)/G463)</f>
        <v/>
      </c>
      <c r="AC463" s="24" t="str">
        <f aca="false">IF(U463&lt;&gt;"Closed","",IF($B463="Short",-1,1)*((N(M463)-H463)*N(L463)+(N(O463)-H463)*N(N463)+(Q463-H463)*Y463)-N(R463))</f>
        <v/>
      </c>
      <c r="AD463" s="25" t="str">
        <f aca="false">IF(OR(AC463="",N(Z463)=0),"",AC463/Z463)</f>
        <v/>
      </c>
      <c r="AE463" s="25" t="str">
        <f aca="false">IF(OR(S463="",N(Z463)=0),"",IF($B463="Short",-1,1)*(S463-H463)*G463/Z463)</f>
        <v/>
      </c>
      <c r="AF463" s="25" t="str">
        <f aca="false">IF(OR(T463="",N(Z463)=0),"",IF($B463="Short",-1,1)*(T463-H463)*G463/Z463)</f>
        <v/>
      </c>
      <c r="AG463" s="21" t="str">
        <f aca="false">IF(U463&lt;&gt;"Open","",Y463*MAX(0,IF($B463="Short",-1,1)*(H463-IF(K463="",I463,K463))))</f>
        <v/>
      </c>
      <c r="AH463" s="26" t="str">
        <f aca="false">IF(U463&lt;&gt;"Closed","",DATE(YEAR(P463),MONTH(P463),1))</f>
        <v/>
      </c>
      <c r="AI463" s="19" t="str">
        <f aca="false">IF(U463&lt;&gt;"Closed","",COUNTIFS($U$7:$U$506,"Closed",$P$7:$P$506,"&lt;"&amp;P463)+COUNTIFS($U$7:U463,"Closed",$P$7:P463,P463))</f>
        <v/>
      </c>
    </row>
    <row r="464" customFormat="false" ht="15" hidden="false" customHeight="false" outlineLevel="0" collapsed="false">
      <c r="A464" s="13"/>
      <c r="B464" s="48"/>
      <c r="C464" s="48"/>
      <c r="D464" s="48"/>
      <c r="E464" s="15"/>
      <c r="F464" s="15"/>
      <c r="G464" s="16"/>
      <c r="H464" s="17"/>
      <c r="I464" s="17"/>
      <c r="J464" s="17"/>
      <c r="K464" s="17"/>
      <c r="L464" s="16"/>
      <c r="M464" s="17"/>
      <c r="N464" s="16"/>
      <c r="O464" s="17"/>
      <c r="P464" s="15"/>
      <c r="Q464" s="17"/>
      <c r="R464" s="17"/>
      <c r="S464" s="17"/>
      <c r="T464" s="17"/>
      <c r="U464" s="18" t="str">
        <f aca="false">IF(A464="","",IF(N(G464)-N(L464)-N(N464)&lt;0,"Check shares",IF(AND(P464&lt;&gt;"",Q464&lt;&gt;""),"Closed","Open")))</f>
        <v/>
      </c>
      <c r="V464" s="19" t="str">
        <f aca="false">IF(OR(F464="",P464=""),"",NETWORKDAYS(F464,P464,Lists!$F$5:$F$40)-1)</f>
        <v/>
      </c>
      <c r="W464" s="18" t="str">
        <f aca="false">IF(V464="","",IF(V464=0,"Same day","Overnight"))</f>
        <v/>
      </c>
      <c r="X464" s="18" t="str">
        <f aca="false">IF(OR(E464="",F464=""),"",IF(AND(E464&gt;=F464,OR(P464="",E464&lt;=P464)),"Yes","No"))</f>
        <v/>
      </c>
      <c r="Y464" s="20" t="str">
        <f aca="false">IF(A464="","",N(G464)-N(L464)-N(N464))</f>
        <v/>
      </c>
      <c r="Z464" s="21" t="str">
        <f aca="false">IF(OR(G464="",H464="",I464=""),"",ABS(H464-I464)*G464)</f>
        <v/>
      </c>
      <c r="AA464" s="22" t="str">
        <f aca="false">IF(OR(J464="",N(Z464)=0),"",ABS(J464-H464)/ABS(H464-I464))</f>
        <v/>
      </c>
      <c r="AB464" s="23" t="str">
        <f aca="false">IF(U464&lt;&gt;"Closed","",(N(L464)*N(M464)+N(N464)*N(O464)+Y464*Q464)/G464)</f>
        <v/>
      </c>
      <c r="AC464" s="24" t="str">
        <f aca="false">IF(U464&lt;&gt;"Closed","",IF($B464="Short",-1,1)*((N(M464)-H464)*N(L464)+(N(O464)-H464)*N(N464)+(Q464-H464)*Y464)-N(R464))</f>
        <v/>
      </c>
      <c r="AD464" s="25" t="str">
        <f aca="false">IF(OR(AC464="",N(Z464)=0),"",AC464/Z464)</f>
        <v/>
      </c>
      <c r="AE464" s="25" t="str">
        <f aca="false">IF(OR(S464="",N(Z464)=0),"",IF($B464="Short",-1,1)*(S464-H464)*G464/Z464)</f>
        <v/>
      </c>
      <c r="AF464" s="25" t="str">
        <f aca="false">IF(OR(T464="",N(Z464)=0),"",IF($B464="Short",-1,1)*(T464-H464)*G464/Z464)</f>
        <v/>
      </c>
      <c r="AG464" s="21" t="str">
        <f aca="false">IF(U464&lt;&gt;"Open","",Y464*MAX(0,IF($B464="Short",-1,1)*(H464-IF(K464="",I464,K464))))</f>
        <v/>
      </c>
      <c r="AH464" s="26" t="str">
        <f aca="false">IF(U464&lt;&gt;"Closed","",DATE(YEAR(P464),MONTH(P464),1))</f>
        <v/>
      </c>
      <c r="AI464" s="19" t="str">
        <f aca="false">IF(U464&lt;&gt;"Closed","",COUNTIFS($U$7:$U$506,"Closed",$P$7:$P$506,"&lt;"&amp;P464)+COUNTIFS($U$7:U464,"Closed",$P$7:P464,P464))</f>
        <v/>
      </c>
    </row>
    <row r="465" customFormat="false" ht="15" hidden="false" customHeight="false" outlineLevel="0" collapsed="false">
      <c r="A465" s="13"/>
      <c r="B465" s="48"/>
      <c r="C465" s="48"/>
      <c r="D465" s="48"/>
      <c r="E465" s="15"/>
      <c r="F465" s="15"/>
      <c r="G465" s="16"/>
      <c r="H465" s="17"/>
      <c r="I465" s="17"/>
      <c r="J465" s="17"/>
      <c r="K465" s="17"/>
      <c r="L465" s="16"/>
      <c r="M465" s="17"/>
      <c r="N465" s="16"/>
      <c r="O465" s="17"/>
      <c r="P465" s="15"/>
      <c r="Q465" s="17"/>
      <c r="R465" s="17"/>
      <c r="S465" s="17"/>
      <c r="T465" s="17"/>
      <c r="U465" s="18" t="str">
        <f aca="false">IF(A465="","",IF(N(G465)-N(L465)-N(N465)&lt;0,"Check shares",IF(AND(P465&lt;&gt;"",Q465&lt;&gt;""),"Closed","Open")))</f>
        <v/>
      </c>
      <c r="V465" s="19" t="str">
        <f aca="false">IF(OR(F465="",P465=""),"",NETWORKDAYS(F465,P465,Lists!$F$5:$F$40)-1)</f>
        <v/>
      </c>
      <c r="W465" s="18" t="str">
        <f aca="false">IF(V465="","",IF(V465=0,"Same day","Overnight"))</f>
        <v/>
      </c>
      <c r="X465" s="18" t="str">
        <f aca="false">IF(OR(E465="",F465=""),"",IF(AND(E465&gt;=F465,OR(P465="",E465&lt;=P465)),"Yes","No"))</f>
        <v/>
      </c>
      <c r="Y465" s="20" t="str">
        <f aca="false">IF(A465="","",N(G465)-N(L465)-N(N465))</f>
        <v/>
      </c>
      <c r="Z465" s="21" t="str">
        <f aca="false">IF(OR(G465="",H465="",I465=""),"",ABS(H465-I465)*G465)</f>
        <v/>
      </c>
      <c r="AA465" s="22" t="str">
        <f aca="false">IF(OR(J465="",N(Z465)=0),"",ABS(J465-H465)/ABS(H465-I465))</f>
        <v/>
      </c>
      <c r="AB465" s="23" t="str">
        <f aca="false">IF(U465&lt;&gt;"Closed","",(N(L465)*N(M465)+N(N465)*N(O465)+Y465*Q465)/G465)</f>
        <v/>
      </c>
      <c r="AC465" s="24" t="str">
        <f aca="false">IF(U465&lt;&gt;"Closed","",IF($B465="Short",-1,1)*((N(M465)-H465)*N(L465)+(N(O465)-H465)*N(N465)+(Q465-H465)*Y465)-N(R465))</f>
        <v/>
      </c>
      <c r="AD465" s="25" t="str">
        <f aca="false">IF(OR(AC465="",N(Z465)=0),"",AC465/Z465)</f>
        <v/>
      </c>
      <c r="AE465" s="25" t="str">
        <f aca="false">IF(OR(S465="",N(Z465)=0),"",IF($B465="Short",-1,1)*(S465-H465)*G465/Z465)</f>
        <v/>
      </c>
      <c r="AF465" s="25" t="str">
        <f aca="false">IF(OR(T465="",N(Z465)=0),"",IF($B465="Short",-1,1)*(T465-H465)*G465/Z465)</f>
        <v/>
      </c>
      <c r="AG465" s="21" t="str">
        <f aca="false">IF(U465&lt;&gt;"Open","",Y465*MAX(0,IF($B465="Short",-1,1)*(H465-IF(K465="",I465,K465))))</f>
        <v/>
      </c>
      <c r="AH465" s="26" t="str">
        <f aca="false">IF(U465&lt;&gt;"Closed","",DATE(YEAR(P465),MONTH(P465),1))</f>
        <v/>
      </c>
      <c r="AI465" s="19" t="str">
        <f aca="false">IF(U465&lt;&gt;"Closed","",COUNTIFS($U$7:$U$506,"Closed",$P$7:$P$506,"&lt;"&amp;P465)+COUNTIFS($U$7:U465,"Closed",$P$7:P465,P465))</f>
        <v/>
      </c>
    </row>
    <row r="466" customFormat="false" ht="15" hidden="false" customHeight="false" outlineLevel="0" collapsed="false">
      <c r="A466" s="13"/>
      <c r="B466" s="48"/>
      <c r="C466" s="48"/>
      <c r="D466" s="48"/>
      <c r="E466" s="15"/>
      <c r="F466" s="15"/>
      <c r="G466" s="16"/>
      <c r="H466" s="17"/>
      <c r="I466" s="17"/>
      <c r="J466" s="17"/>
      <c r="K466" s="17"/>
      <c r="L466" s="16"/>
      <c r="M466" s="17"/>
      <c r="N466" s="16"/>
      <c r="O466" s="17"/>
      <c r="P466" s="15"/>
      <c r="Q466" s="17"/>
      <c r="R466" s="17"/>
      <c r="S466" s="17"/>
      <c r="T466" s="17"/>
      <c r="U466" s="18" t="str">
        <f aca="false">IF(A466="","",IF(N(G466)-N(L466)-N(N466)&lt;0,"Check shares",IF(AND(P466&lt;&gt;"",Q466&lt;&gt;""),"Closed","Open")))</f>
        <v/>
      </c>
      <c r="V466" s="19" t="str">
        <f aca="false">IF(OR(F466="",P466=""),"",NETWORKDAYS(F466,P466,Lists!$F$5:$F$40)-1)</f>
        <v/>
      </c>
      <c r="W466" s="18" t="str">
        <f aca="false">IF(V466="","",IF(V466=0,"Same day","Overnight"))</f>
        <v/>
      </c>
      <c r="X466" s="18" t="str">
        <f aca="false">IF(OR(E466="",F466=""),"",IF(AND(E466&gt;=F466,OR(P466="",E466&lt;=P466)),"Yes","No"))</f>
        <v/>
      </c>
      <c r="Y466" s="20" t="str">
        <f aca="false">IF(A466="","",N(G466)-N(L466)-N(N466))</f>
        <v/>
      </c>
      <c r="Z466" s="21" t="str">
        <f aca="false">IF(OR(G466="",H466="",I466=""),"",ABS(H466-I466)*G466)</f>
        <v/>
      </c>
      <c r="AA466" s="22" t="str">
        <f aca="false">IF(OR(J466="",N(Z466)=0),"",ABS(J466-H466)/ABS(H466-I466))</f>
        <v/>
      </c>
      <c r="AB466" s="23" t="str">
        <f aca="false">IF(U466&lt;&gt;"Closed","",(N(L466)*N(M466)+N(N466)*N(O466)+Y466*Q466)/G466)</f>
        <v/>
      </c>
      <c r="AC466" s="24" t="str">
        <f aca="false">IF(U466&lt;&gt;"Closed","",IF($B466="Short",-1,1)*((N(M466)-H466)*N(L466)+(N(O466)-H466)*N(N466)+(Q466-H466)*Y466)-N(R466))</f>
        <v/>
      </c>
      <c r="AD466" s="25" t="str">
        <f aca="false">IF(OR(AC466="",N(Z466)=0),"",AC466/Z466)</f>
        <v/>
      </c>
      <c r="AE466" s="25" t="str">
        <f aca="false">IF(OR(S466="",N(Z466)=0),"",IF($B466="Short",-1,1)*(S466-H466)*G466/Z466)</f>
        <v/>
      </c>
      <c r="AF466" s="25" t="str">
        <f aca="false">IF(OR(T466="",N(Z466)=0),"",IF($B466="Short",-1,1)*(T466-H466)*G466/Z466)</f>
        <v/>
      </c>
      <c r="AG466" s="21" t="str">
        <f aca="false">IF(U466&lt;&gt;"Open","",Y466*MAX(0,IF($B466="Short",-1,1)*(H466-IF(K466="",I466,K466))))</f>
        <v/>
      </c>
      <c r="AH466" s="26" t="str">
        <f aca="false">IF(U466&lt;&gt;"Closed","",DATE(YEAR(P466),MONTH(P466),1))</f>
        <v/>
      </c>
      <c r="AI466" s="19" t="str">
        <f aca="false">IF(U466&lt;&gt;"Closed","",COUNTIFS($U$7:$U$506,"Closed",$P$7:$P$506,"&lt;"&amp;P466)+COUNTIFS($U$7:U466,"Closed",$P$7:P466,P466))</f>
        <v/>
      </c>
    </row>
    <row r="467" customFormat="false" ht="15" hidden="false" customHeight="false" outlineLevel="0" collapsed="false">
      <c r="A467" s="13"/>
      <c r="B467" s="48"/>
      <c r="C467" s="48"/>
      <c r="D467" s="48"/>
      <c r="E467" s="15"/>
      <c r="F467" s="15"/>
      <c r="G467" s="16"/>
      <c r="H467" s="17"/>
      <c r="I467" s="17"/>
      <c r="J467" s="17"/>
      <c r="K467" s="17"/>
      <c r="L467" s="16"/>
      <c r="M467" s="17"/>
      <c r="N467" s="16"/>
      <c r="O467" s="17"/>
      <c r="P467" s="15"/>
      <c r="Q467" s="17"/>
      <c r="R467" s="17"/>
      <c r="S467" s="17"/>
      <c r="T467" s="17"/>
      <c r="U467" s="18" t="str">
        <f aca="false">IF(A467="","",IF(N(G467)-N(L467)-N(N467)&lt;0,"Check shares",IF(AND(P467&lt;&gt;"",Q467&lt;&gt;""),"Closed","Open")))</f>
        <v/>
      </c>
      <c r="V467" s="19" t="str">
        <f aca="false">IF(OR(F467="",P467=""),"",NETWORKDAYS(F467,P467,Lists!$F$5:$F$40)-1)</f>
        <v/>
      </c>
      <c r="W467" s="18" t="str">
        <f aca="false">IF(V467="","",IF(V467=0,"Same day","Overnight"))</f>
        <v/>
      </c>
      <c r="X467" s="18" t="str">
        <f aca="false">IF(OR(E467="",F467=""),"",IF(AND(E467&gt;=F467,OR(P467="",E467&lt;=P467)),"Yes","No"))</f>
        <v/>
      </c>
      <c r="Y467" s="20" t="str">
        <f aca="false">IF(A467="","",N(G467)-N(L467)-N(N467))</f>
        <v/>
      </c>
      <c r="Z467" s="21" t="str">
        <f aca="false">IF(OR(G467="",H467="",I467=""),"",ABS(H467-I467)*G467)</f>
        <v/>
      </c>
      <c r="AA467" s="22" t="str">
        <f aca="false">IF(OR(J467="",N(Z467)=0),"",ABS(J467-H467)/ABS(H467-I467))</f>
        <v/>
      </c>
      <c r="AB467" s="23" t="str">
        <f aca="false">IF(U467&lt;&gt;"Closed","",(N(L467)*N(M467)+N(N467)*N(O467)+Y467*Q467)/G467)</f>
        <v/>
      </c>
      <c r="AC467" s="24" t="str">
        <f aca="false">IF(U467&lt;&gt;"Closed","",IF($B467="Short",-1,1)*((N(M467)-H467)*N(L467)+(N(O467)-H467)*N(N467)+(Q467-H467)*Y467)-N(R467))</f>
        <v/>
      </c>
      <c r="AD467" s="25" t="str">
        <f aca="false">IF(OR(AC467="",N(Z467)=0),"",AC467/Z467)</f>
        <v/>
      </c>
      <c r="AE467" s="25" t="str">
        <f aca="false">IF(OR(S467="",N(Z467)=0),"",IF($B467="Short",-1,1)*(S467-H467)*G467/Z467)</f>
        <v/>
      </c>
      <c r="AF467" s="25" t="str">
        <f aca="false">IF(OR(T467="",N(Z467)=0),"",IF($B467="Short",-1,1)*(T467-H467)*G467/Z467)</f>
        <v/>
      </c>
      <c r="AG467" s="21" t="str">
        <f aca="false">IF(U467&lt;&gt;"Open","",Y467*MAX(0,IF($B467="Short",-1,1)*(H467-IF(K467="",I467,K467))))</f>
        <v/>
      </c>
      <c r="AH467" s="26" t="str">
        <f aca="false">IF(U467&lt;&gt;"Closed","",DATE(YEAR(P467),MONTH(P467),1))</f>
        <v/>
      </c>
      <c r="AI467" s="19" t="str">
        <f aca="false">IF(U467&lt;&gt;"Closed","",COUNTIFS($U$7:$U$506,"Closed",$P$7:$P$506,"&lt;"&amp;P467)+COUNTIFS($U$7:U467,"Closed",$P$7:P467,P467))</f>
        <v/>
      </c>
    </row>
    <row r="468" customFormat="false" ht="15" hidden="false" customHeight="false" outlineLevel="0" collapsed="false">
      <c r="A468" s="13"/>
      <c r="B468" s="48"/>
      <c r="C468" s="48"/>
      <c r="D468" s="48"/>
      <c r="E468" s="15"/>
      <c r="F468" s="15"/>
      <c r="G468" s="16"/>
      <c r="H468" s="17"/>
      <c r="I468" s="17"/>
      <c r="J468" s="17"/>
      <c r="K468" s="17"/>
      <c r="L468" s="16"/>
      <c r="M468" s="17"/>
      <c r="N468" s="16"/>
      <c r="O468" s="17"/>
      <c r="P468" s="15"/>
      <c r="Q468" s="17"/>
      <c r="R468" s="17"/>
      <c r="S468" s="17"/>
      <c r="T468" s="17"/>
      <c r="U468" s="18" t="str">
        <f aca="false">IF(A468="","",IF(N(G468)-N(L468)-N(N468)&lt;0,"Check shares",IF(AND(P468&lt;&gt;"",Q468&lt;&gt;""),"Closed","Open")))</f>
        <v/>
      </c>
      <c r="V468" s="19" t="str">
        <f aca="false">IF(OR(F468="",P468=""),"",NETWORKDAYS(F468,P468,Lists!$F$5:$F$40)-1)</f>
        <v/>
      </c>
      <c r="W468" s="18" t="str">
        <f aca="false">IF(V468="","",IF(V468=0,"Same day","Overnight"))</f>
        <v/>
      </c>
      <c r="X468" s="18" t="str">
        <f aca="false">IF(OR(E468="",F468=""),"",IF(AND(E468&gt;=F468,OR(P468="",E468&lt;=P468)),"Yes","No"))</f>
        <v/>
      </c>
      <c r="Y468" s="20" t="str">
        <f aca="false">IF(A468="","",N(G468)-N(L468)-N(N468))</f>
        <v/>
      </c>
      <c r="Z468" s="21" t="str">
        <f aca="false">IF(OR(G468="",H468="",I468=""),"",ABS(H468-I468)*G468)</f>
        <v/>
      </c>
      <c r="AA468" s="22" t="str">
        <f aca="false">IF(OR(J468="",N(Z468)=0),"",ABS(J468-H468)/ABS(H468-I468))</f>
        <v/>
      </c>
      <c r="AB468" s="23" t="str">
        <f aca="false">IF(U468&lt;&gt;"Closed","",(N(L468)*N(M468)+N(N468)*N(O468)+Y468*Q468)/G468)</f>
        <v/>
      </c>
      <c r="AC468" s="24" t="str">
        <f aca="false">IF(U468&lt;&gt;"Closed","",IF($B468="Short",-1,1)*((N(M468)-H468)*N(L468)+(N(O468)-H468)*N(N468)+(Q468-H468)*Y468)-N(R468))</f>
        <v/>
      </c>
      <c r="AD468" s="25" t="str">
        <f aca="false">IF(OR(AC468="",N(Z468)=0),"",AC468/Z468)</f>
        <v/>
      </c>
      <c r="AE468" s="25" t="str">
        <f aca="false">IF(OR(S468="",N(Z468)=0),"",IF($B468="Short",-1,1)*(S468-H468)*G468/Z468)</f>
        <v/>
      </c>
      <c r="AF468" s="25" t="str">
        <f aca="false">IF(OR(T468="",N(Z468)=0),"",IF($B468="Short",-1,1)*(T468-H468)*G468/Z468)</f>
        <v/>
      </c>
      <c r="AG468" s="21" t="str">
        <f aca="false">IF(U468&lt;&gt;"Open","",Y468*MAX(0,IF($B468="Short",-1,1)*(H468-IF(K468="",I468,K468))))</f>
        <v/>
      </c>
      <c r="AH468" s="26" t="str">
        <f aca="false">IF(U468&lt;&gt;"Closed","",DATE(YEAR(P468),MONTH(P468),1))</f>
        <v/>
      </c>
      <c r="AI468" s="19" t="str">
        <f aca="false">IF(U468&lt;&gt;"Closed","",COUNTIFS($U$7:$U$506,"Closed",$P$7:$P$506,"&lt;"&amp;P468)+COUNTIFS($U$7:U468,"Closed",$P$7:P468,P468))</f>
        <v/>
      </c>
    </row>
    <row r="469" customFormat="false" ht="15" hidden="false" customHeight="false" outlineLevel="0" collapsed="false">
      <c r="A469" s="13"/>
      <c r="B469" s="48"/>
      <c r="C469" s="48"/>
      <c r="D469" s="48"/>
      <c r="E469" s="15"/>
      <c r="F469" s="15"/>
      <c r="G469" s="16"/>
      <c r="H469" s="17"/>
      <c r="I469" s="17"/>
      <c r="J469" s="17"/>
      <c r="K469" s="17"/>
      <c r="L469" s="16"/>
      <c r="M469" s="17"/>
      <c r="N469" s="16"/>
      <c r="O469" s="17"/>
      <c r="P469" s="15"/>
      <c r="Q469" s="17"/>
      <c r="R469" s="17"/>
      <c r="S469" s="17"/>
      <c r="T469" s="17"/>
      <c r="U469" s="18" t="str">
        <f aca="false">IF(A469="","",IF(N(G469)-N(L469)-N(N469)&lt;0,"Check shares",IF(AND(P469&lt;&gt;"",Q469&lt;&gt;""),"Closed","Open")))</f>
        <v/>
      </c>
      <c r="V469" s="19" t="str">
        <f aca="false">IF(OR(F469="",P469=""),"",NETWORKDAYS(F469,P469,Lists!$F$5:$F$40)-1)</f>
        <v/>
      </c>
      <c r="W469" s="18" t="str">
        <f aca="false">IF(V469="","",IF(V469=0,"Same day","Overnight"))</f>
        <v/>
      </c>
      <c r="X469" s="18" t="str">
        <f aca="false">IF(OR(E469="",F469=""),"",IF(AND(E469&gt;=F469,OR(P469="",E469&lt;=P469)),"Yes","No"))</f>
        <v/>
      </c>
      <c r="Y469" s="20" t="str">
        <f aca="false">IF(A469="","",N(G469)-N(L469)-N(N469))</f>
        <v/>
      </c>
      <c r="Z469" s="21" t="str">
        <f aca="false">IF(OR(G469="",H469="",I469=""),"",ABS(H469-I469)*G469)</f>
        <v/>
      </c>
      <c r="AA469" s="22" t="str">
        <f aca="false">IF(OR(J469="",N(Z469)=0),"",ABS(J469-H469)/ABS(H469-I469))</f>
        <v/>
      </c>
      <c r="AB469" s="23" t="str">
        <f aca="false">IF(U469&lt;&gt;"Closed","",(N(L469)*N(M469)+N(N469)*N(O469)+Y469*Q469)/G469)</f>
        <v/>
      </c>
      <c r="AC469" s="24" t="str">
        <f aca="false">IF(U469&lt;&gt;"Closed","",IF($B469="Short",-1,1)*((N(M469)-H469)*N(L469)+(N(O469)-H469)*N(N469)+(Q469-H469)*Y469)-N(R469))</f>
        <v/>
      </c>
      <c r="AD469" s="25" t="str">
        <f aca="false">IF(OR(AC469="",N(Z469)=0),"",AC469/Z469)</f>
        <v/>
      </c>
      <c r="AE469" s="25" t="str">
        <f aca="false">IF(OR(S469="",N(Z469)=0),"",IF($B469="Short",-1,1)*(S469-H469)*G469/Z469)</f>
        <v/>
      </c>
      <c r="AF469" s="25" t="str">
        <f aca="false">IF(OR(T469="",N(Z469)=0),"",IF($B469="Short",-1,1)*(T469-H469)*G469/Z469)</f>
        <v/>
      </c>
      <c r="AG469" s="21" t="str">
        <f aca="false">IF(U469&lt;&gt;"Open","",Y469*MAX(0,IF($B469="Short",-1,1)*(H469-IF(K469="",I469,K469))))</f>
        <v/>
      </c>
      <c r="AH469" s="26" t="str">
        <f aca="false">IF(U469&lt;&gt;"Closed","",DATE(YEAR(P469),MONTH(P469),1))</f>
        <v/>
      </c>
      <c r="AI469" s="19" t="str">
        <f aca="false">IF(U469&lt;&gt;"Closed","",COUNTIFS($U$7:$U$506,"Closed",$P$7:$P$506,"&lt;"&amp;P469)+COUNTIFS($U$7:U469,"Closed",$P$7:P469,P469))</f>
        <v/>
      </c>
    </row>
    <row r="470" customFormat="false" ht="15" hidden="false" customHeight="false" outlineLevel="0" collapsed="false">
      <c r="A470" s="13"/>
      <c r="B470" s="48"/>
      <c r="C470" s="48"/>
      <c r="D470" s="48"/>
      <c r="E470" s="15"/>
      <c r="F470" s="15"/>
      <c r="G470" s="16"/>
      <c r="H470" s="17"/>
      <c r="I470" s="17"/>
      <c r="J470" s="17"/>
      <c r="K470" s="17"/>
      <c r="L470" s="16"/>
      <c r="M470" s="17"/>
      <c r="N470" s="16"/>
      <c r="O470" s="17"/>
      <c r="P470" s="15"/>
      <c r="Q470" s="17"/>
      <c r="R470" s="17"/>
      <c r="S470" s="17"/>
      <c r="T470" s="17"/>
      <c r="U470" s="18" t="str">
        <f aca="false">IF(A470="","",IF(N(G470)-N(L470)-N(N470)&lt;0,"Check shares",IF(AND(P470&lt;&gt;"",Q470&lt;&gt;""),"Closed","Open")))</f>
        <v/>
      </c>
      <c r="V470" s="19" t="str">
        <f aca="false">IF(OR(F470="",P470=""),"",NETWORKDAYS(F470,P470,Lists!$F$5:$F$40)-1)</f>
        <v/>
      </c>
      <c r="W470" s="18" t="str">
        <f aca="false">IF(V470="","",IF(V470=0,"Same day","Overnight"))</f>
        <v/>
      </c>
      <c r="X470" s="18" t="str">
        <f aca="false">IF(OR(E470="",F470=""),"",IF(AND(E470&gt;=F470,OR(P470="",E470&lt;=P470)),"Yes","No"))</f>
        <v/>
      </c>
      <c r="Y470" s="20" t="str">
        <f aca="false">IF(A470="","",N(G470)-N(L470)-N(N470))</f>
        <v/>
      </c>
      <c r="Z470" s="21" t="str">
        <f aca="false">IF(OR(G470="",H470="",I470=""),"",ABS(H470-I470)*G470)</f>
        <v/>
      </c>
      <c r="AA470" s="22" t="str">
        <f aca="false">IF(OR(J470="",N(Z470)=0),"",ABS(J470-H470)/ABS(H470-I470))</f>
        <v/>
      </c>
      <c r="AB470" s="23" t="str">
        <f aca="false">IF(U470&lt;&gt;"Closed","",(N(L470)*N(M470)+N(N470)*N(O470)+Y470*Q470)/G470)</f>
        <v/>
      </c>
      <c r="AC470" s="24" t="str">
        <f aca="false">IF(U470&lt;&gt;"Closed","",IF($B470="Short",-1,1)*((N(M470)-H470)*N(L470)+(N(O470)-H470)*N(N470)+(Q470-H470)*Y470)-N(R470))</f>
        <v/>
      </c>
      <c r="AD470" s="25" t="str">
        <f aca="false">IF(OR(AC470="",N(Z470)=0),"",AC470/Z470)</f>
        <v/>
      </c>
      <c r="AE470" s="25" t="str">
        <f aca="false">IF(OR(S470="",N(Z470)=0),"",IF($B470="Short",-1,1)*(S470-H470)*G470/Z470)</f>
        <v/>
      </c>
      <c r="AF470" s="25" t="str">
        <f aca="false">IF(OR(T470="",N(Z470)=0),"",IF($B470="Short",-1,1)*(T470-H470)*G470/Z470)</f>
        <v/>
      </c>
      <c r="AG470" s="21" t="str">
        <f aca="false">IF(U470&lt;&gt;"Open","",Y470*MAX(0,IF($B470="Short",-1,1)*(H470-IF(K470="",I470,K470))))</f>
        <v/>
      </c>
      <c r="AH470" s="26" t="str">
        <f aca="false">IF(U470&lt;&gt;"Closed","",DATE(YEAR(P470),MONTH(P470),1))</f>
        <v/>
      </c>
      <c r="AI470" s="19" t="str">
        <f aca="false">IF(U470&lt;&gt;"Closed","",COUNTIFS($U$7:$U$506,"Closed",$P$7:$P$506,"&lt;"&amp;P470)+COUNTIFS($U$7:U470,"Closed",$P$7:P470,P470))</f>
        <v/>
      </c>
    </row>
    <row r="471" customFormat="false" ht="15" hidden="false" customHeight="false" outlineLevel="0" collapsed="false">
      <c r="A471" s="13"/>
      <c r="B471" s="48"/>
      <c r="C471" s="48"/>
      <c r="D471" s="48"/>
      <c r="E471" s="15"/>
      <c r="F471" s="15"/>
      <c r="G471" s="16"/>
      <c r="H471" s="17"/>
      <c r="I471" s="17"/>
      <c r="J471" s="17"/>
      <c r="K471" s="17"/>
      <c r="L471" s="16"/>
      <c r="M471" s="17"/>
      <c r="N471" s="16"/>
      <c r="O471" s="17"/>
      <c r="P471" s="15"/>
      <c r="Q471" s="17"/>
      <c r="R471" s="17"/>
      <c r="S471" s="17"/>
      <c r="T471" s="17"/>
      <c r="U471" s="18" t="str">
        <f aca="false">IF(A471="","",IF(N(G471)-N(L471)-N(N471)&lt;0,"Check shares",IF(AND(P471&lt;&gt;"",Q471&lt;&gt;""),"Closed","Open")))</f>
        <v/>
      </c>
      <c r="V471" s="19" t="str">
        <f aca="false">IF(OR(F471="",P471=""),"",NETWORKDAYS(F471,P471,Lists!$F$5:$F$40)-1)</f>
        <v/>
      </c>
      <c r="W471" s="18" t="str">
        <f aca="false">IF(V471="","",IF(V471=0,"Same day","Overnight"))</f>
        <v/>
      </c>
      <c r="X471" s="18" t="str">
        <f aca="false">IF(OR(E471="",F471=""),"",IF(AND(E471&gt;=F471,OR(P471="",E471&lt;=P471)),"Yes","No"))</f>
        <v/>
      </c>
      <c r="Y471" s="20" t="str">
        <f aca="false">IF(A471="","",N(G471)-N(L471)-N(N471))</f>
        <v/>
      </c>
      <c r="Z471" s="21" t="str">
        <f aca="false">IF(OR(G471="",H471="",I471=""),"",ABS(H471-I471)*G471)</f>
        <v/>
      </c>
      <c r="AA471" s="22" t="str">
        <f aca="false">IF(OR(J471="",N(Z471)=0),"",ABS(J471-H471)/ABS(H471-I471))</f>
        <v/>
      </c>
      <c r="AB471" s="23" t="str">
        <f aca="false">IF(U471&lt;&gt;"Closed","",(N(L471)*N(M471)+N(N471)*N(O471)+Y471*Q471)/G471)</f>
        <v/>
      </c>
      <c r="AC471" s="24" t="str">
        <f aca="false">IF(U471&lt;&gt;"Closed","",IF($B471="Short",-1,1)*((N(M471)-H471)*N(L471)+(N(O471)-H471)*N(N471)+(Q471-H471)*Y471)-N(R471))</f>
        <v/>
      </c>
      <c r="AD471" s="25" t="str">
        <f aca="false">IF(OR(AC471="",N(Z471)=0),"",AC471/Z471)</f>
        <v/>
      </c>
      <c r="AE471" s="25" t="str">
        <f aca="false">IF(OR(S471="",N(Z471)=0),"",IF($B471="Short",-1,1)*(S471-H471)*G471/Z471)</f>
        <v/>
      </c>
      <c r="AF471" s="25" t="str">
        <f aca="false">IF(OR(T471="",N(Z471)=0),"",IF($B471="Short",-1,1)*(T471-H471)*G471/Z471)</f>
        <v/>
      </c>
      <c r="AG471" s="21" t="str">
        <f aca="false">IF(U471&lt;&gt;"Open","",Y471*MAX(0,IF($B471="Short",-1,1)*(H471-IF(K471="",I471,K471))))</f>
        <v/>
      </c>
      <c r="AH471" s="26" t="str">
        <f aca="false">IF(U471&lt;&gt;"Closed","",DATE(YEAR(P471),MONTH(P471),1))</f>
        <v/>
      </c>
      <c r="AI471" s="19" t="str">
        <f aca="false">IF(U471&lt;&gt;"Closed","",COUNTIFS($U$7:$U$506,"Closed",$P$7:$P$506,"&lt;"&amp;P471)+COUNTIFS($U$7:U471,"Closed",$P$7:P471,P471))</f>
        <v/>
      </c>
    </row>
    <row r="472" customFormat="false" ht="15" hidden="false" customHeight="false" outlineLevel="0" collapsed="false">
      <c r="A472" s="13"/>
      <c r="B472" s="48"/>
      <c r="C472" s="48"/>
      <c r="D472" s="48"/>
      <c r="E472" s="15"/>
      <c r="F472" s="15"/>
      <c r="G472" s="16"/>
      <c r="H472" s="17"/>
      <c r="I472" s="17"/>
      <c r="J472" s="17"/>
      <c r="K472" s="17"/>
      <c r="L472" s="16"/>
      <c r="M472" s="17"/>
      <c r="N472" s="16"/>
      <c r="O472" s="17"/>
      <c r="P472" s="15"/>
      <c r="Q472" s="17"/>
      <c r="R472" s="17"/>
      <c r="S472" s="17"/>
      <c r="T472" s="17"/>
      <c r="U472" s="18" t="str">
        <f aca="false">IF(A472="","",IF(N(G472)-N(L472)-N(N472)&lt;0,"Check shares",IF(AND(P472&lt;&gt;"",Q472&lt;&gt;""),"Closed","Open")))</f>
        <v/>
      </c>
      <c r="V472" s="19" t="str">
        <f aca="false">IF(OR(F472="",P472=""),"",NETWORKDAYS(F472,P472,Lists!$F$5:$F$40)-1)</f>
        <v/>
      </c>
      <c r="W472" s="18" t="str">
        <f aca="false">IF(V472="","",IF(V472=0,"Same day","Overnight"))</f>
        <v/>
      </c>
      <c r="X472" s="18" t="str">
        <f aca="false">IF(OR(E472="",F472=""),"",IF(AND(E472&gt;=F472,OR(P472="",E472&lt;=P472)),"Yes","No"))</f>
        <v/>
      </c>
      <c r="Y472" s="20" t="str">
        <f aca="false">IF(A472="","",N(G472)-N(L472)-N(N472))</f>
        <v/>
      </c>
      <c r="Z472" s="21" t="str">
        <f aca="false">IF(OR(G472="",H472="",I472=""),"",ABS(H472-I472)*G472)</f>
        <v/>
      </c>
      <c r="AA472" s="22" t="str">
        <f aca="false">IF(OR(J472="",N(Z472)=0),"",ABS(J472-H472)/ABS(H472-I472))</f>
        <v/>
      </c>
      <c r="AB472" s="23" t="str">
        <f aca="false">IF(U472&lt;&gt;"Closed","",(N(L472)*N(M472)+N(N472)*N(O472)+Y472*Q472)/G472)</f>
        <v/>
      </c>
      <c r="AC472" s="24" t="str">
        <f aca="false">IF(U472&lt;&gt;"Closed","",IF($B472="Short",-1,1)*((N(M472)-H472)*N(L472)+(N(O472)-H472)*N(N472)+(Q472-H472)*Y472)-N(R472))</f>
        <v/>
      </c>
      <c r="AD472" s="25" t="str">
        <f aca="false">IF(OR(AC472="",N(Z472)=0),"",AC472/Z472)</f>
        <v/>
      </c>
      <c r="AE472" s="25" t="str">
        <f aca="false">IF(OR(S472="",N(Z472)=0),"",IF($B472="Short",-1,1)*(S472-H472)*G472/Z472)</f>
        <v/>
      </c>
      <c r="AF472" s="25" t="str">
        <f aca="false">IF(OR(T472="",N(Z472)=0),"",IF($B472="Short",-1,1)*(T472-H472)*G472/Z472)</f>
        <v/>
      </c>
      <c r="AG472" s="21" t="str">
        <f aca="false">IF(U472&lt;&gt;"Open","",Y472*MAX(0,IF($B472="Short",-1,1)*(H472-IF(K472="",I472,K472))))</f>
        <v/>
      </c>
      <c r="AH472" s="26" t="str">
        <f aca="false">IF(U472&lt;&gt;"Closed","",DATE(YEAR(P472),MONTH(P472),1))</f>
        <v/>
      </c>
      <c r="AI472" s="19" t="str">
        <f aca="false">IF(U472&lt;&gt;"Closed","",COUNTIFS($U$7:$U$506,"Closed",$P$7:$P$506,"&lt;"&amp;P472)+COUNTIFS($U$7:U472,"Closed",$P$7:P472,P472))</f>
        <v/>
      </c>
    </row>
    <row r="473" customFormat="false" ht="15" hidden="false" customHeight="false" outlineLevel="0" collapsed="false">
      <c r="A473" s="13"/>
      <c r="B473" s="48"/>
      <c r="C473" s="48"/>
      <c r="D473" s="48"/>
      <c r="E473" s="15"/>
      <c r="F473" s="15"/>
      <c r="G473" s="16"/>
      <c r="H473" s="17"/>
      <c r="I473" s="17"/>
      <c r="J473" s="17"/>
      <c r="K473" s="17"/>
      <c r="L473" s="16"/>
      <c r="M473" s="17"/>
      <c r="N473" s="16"/>
      <c r="O473" s="17"/>
      <c r="P473" s="15"/>
      <c r="Q473" s="17"/>
      <c r="R473" s="17"/>
      <c r="S473" s="17"/>
      <c r="T473" s="17"/>
      <c r="U473" s="18" t="str">
        <f aca="false">IF(A473="","",IF(N(G473)-N(L473)-N(N473)&lt;0,"Check shares",IF(AND(P473&lt;&gt;"",Q473&lt;&gt;""),"Closed","Open")))</f>
        <v/>
      </c>
      <c r="V473" s="19" t="str">
        <f aca="false">IF(OR(F473="",P473=""),"",NETWORKDAYS(F473,P473,Lists!$F$5:$F$40)-1)</f>
        <v/>
      </c>
      <c r="W473" s="18" t="str">
        <f aca="false">IF(V473="","",IF(V473=0,"Same day","Overnight"))</f>
        <v/>
      </c>
      <c r="X473" s="18" t="str">
        <f aca="false">IF(OR(E473="",F473=""),"",IF(AND(E473&gt;=F473,OR(P473="",E473&lt;=P473)),"Yes","No"))</f>
        <v/>
      </c>
      <c r="Y473" s="20" t="str">
        <f aca="false">IF(A473="","",N(G473)-N(L473)-N(N473))</f>
        <v/>
      </c>
      <c r="Z473" s="21" t="str">
        <f aca="false">IF(OR(G473="",H473="",I473=""),"",ABS(H473-I473)*G473)</f>
        <v/>
      </c>
      <c r="AA473" s="22" t="str">
        <f aca="false">IF(OR(J473="",N(Z473)=0),"",ABS(J473-H473)/ABS(H473-I473))</f>
        <v/>
      </c>
      <c r="AB473" s="23" t="str">
        <f aca="false">IF(U473&lt;&gt;"Closed","",(N(L473)*N(M473)+N(N473)*N(O473)+Y473*Q473)/G473)</f>
        <v/>
      </c>
      <c r="AC473" s="24" t="str">
        <f aca="false">IF(U473&lt;&gt;"Closed","",IF($B473="Short",-1,1)*((N(M473)-H473)*N(L473)+(N(O473)-H473)*N(N473)+(Q473-H473)*Y473)-N(R473))</f>
        <v/>
      </c>
      <c r="AD473" s="25" t="str">
        <f aca="false">IF(OR(AC473="",N(Z473)=0),"",AC473/Z473)</f>
        <v/>
      </c>
      <c r="AE473" s="25" t="str">
        <f aca="false">IF(OR(S473="",N(Z473)=0),"",IF($B473="Short",-1,1)*(S473-H473)*G473/Z473)</f>
        <v/>
      </c>
      <c r="AF473" s="25" t="str">
        <f aca="false">IF(OR(T473="",N(Z473)=0),"",IF($B473="Short",-1,1)*(T473-H473)*G473/Z473)</f>
        <v/>
      </c>
      <c r="AG473" s="21" t="str">
        <f aca="false">IF(U473&lt;&gt;"Open","",Y473*MAX(0,IF($B473="Short",-1,1)*(H473-IF(K473="",I473,K473))))</f>
        <v/>
      </c>
      <c r="AH473" s="26" t="str">
        <f aca="false">IF(U473&lt;&gt;"Closed","",DATE(YEAR(P473),MONTH(P473),1))</f>
        <v/>
      </c>
      <c r="AI473" s="19" t="str">
        <f aca="false">IF(U473&lt;&gt;"Closed","",COUNTIFS($U$7:$U$506,"Closed",$P$7:$P$506,"&lt;"&amp;P473)+COUNTIFS($U$7:U473,"Closed",$P$7:P473,P473))</f>
        <v/>
      </c>
    </row>
    <row r="474" customFormat="false" ht="15" hidden="false" customHeight="false" outlineLevel="0" collapsed="false">
      <c r="A474" s="13"/>
      <c r="B474" s="48"/>
      <c r="C474" s="48"/>
      <c r="D474" s="48"/>
      <c r="E474" s="15"/>
      <c r="F474" s="15"/>
      <c r="G474" s="16"/>
      <c r="H474" s="17"/>
      <c r="I474" s="17"/>
      <c r="J474" s="17"/>
      <c r="K474" s="17"/>
      <c r="L474" s="16"/>
      <c r="M474" s="17"/>
      <c r="N474" s="16"/>
      <c r="O474" s="17"/>
      <c r="P474" s="15"/>
      <c r="Q474" s="17"/>
      <c r="R474" s="17"/>
      <c r="S474" s="17"/>
      <c r="T474" s="17"/>
      <c r="U474" s="18" t="str">
        <f aca="false">IF(A474="","",IF(N(G474)-N(L474)-N(N474)&lt;0,"Check shares",IF(AND(P474&lt;&gt;"",Q474&lt;&gt;""),"Closed","Open")))</f>
        <v/>
      </c>
      <c r="V474" s="19" t="str">
        <f aca="false">IF(OR(F474="",P474=""),"",NETWORKDAYS(F474,P474,Lists!$F$5:$F$40)-1)</f>
        <v/>
      </c>
      <c r="W474" s="18" t="str">
        <f aca="false">IF(V474="","",IF(V474=0,"Same day","Overnight"))</f>
        <v/>
      </c>
      <c r="X474" s="18" t="str">
        <f aca="false">IF(OR(E474="",F474=""),"",IF(AND(E474&gt;=F474,OR(P474="",E474&lt;=P474)),"Yes","No"))</f>
        <v/>
      </c>
      <c r="Y474" s="20" t="str">
        <f aca="false">IF(A474="","",N(G474)-N(L474)-N(N474))</f>
        <v/>
      </c>
      <c r="Z474" s="21" t="str">
        <f aca="false">IF(OR(G474="",H474="",I474=""),"",ABS(H474-I474)*G474)</f>
        <v/>
      </c>
      <c r="AA474" s="22" t="str">
        <f aca="false">IF(OR(J474="",N(Z474)=0),"",ABS(J474-H474)/ABS(H474-I474))</f>
        <v/>
      </c>
      <c r="AB474" s="23" t="str">
        <f aca="false">IF(U474&lt;&gt;"Closed","",(N(L474)*N(M474)+N(N474)*N(O474)+Y474*Q474)/G474)</f>
        <v/>
      </c>
      <c r="AC474" s="24" t="str">
        <f aca="false">IF(U474&lt;&gt;"Closed","",IF($B474="Short",-1,1)*((N(M474)-H474)*N(L474)+(N(O474)-H474)*N(N474)+(Q474-H474)*Y474)-N(R474))</f>
        <v/>
      </c>
      <c r="AD474" s="25" t="str">
        <f aca="false">IF(OR(AC474="",N(Z474)=0),"",AC474/Z474)</f>
        <v/>
      </c>
      <c r="AE474" s="25" t="str">
        <f aca="false">IF(OR(S474="",N(Z474)=0),"",IF($B474="Short",-1,1)*(S474-H474)*G474/Z474)</f>
        <v/>
      </c>
      <c r="AF474" s="25" t="str">
        <f aca="false">IF(OR(T474="",N(Z474)=0),"",IF($B474="Short",-1,1)*(T474-H474)*G474/Z474)</f>
        <v/>
      </c>
      <c r="AG474" s="21" t="str">
        <f aca="false">IF(U474&lt;&gt;"Open","",Y474*MAX(0,IF($B474="Short",-1,1)*(H474-IF(K474="",I474,K474))))</f>
        <v/>
      </c>
      <c r="AH474" s="26" t="str">
        <f aca="false">IF(U474&lt;&gt;"Closed","",DATE(YEAR(P474),MONTH(P474),1))</f>
        <v/>
      </c>
      <c r="AI474" s="19" t="str">
        <f aca="false">IF(U474&lt;&gt;"Closed","",COUNTIFS($U$7:$U$506,"Closed",$P$7:$P$506,"&lt;"&amp;P474)+COUNTIFS($U$7:U474,"Closed",$P$7:P474,P474))</f>
        <v/>
      </c>
    </row>
    <row r="475" customFormat="false" ht="15" hidden="false" customHeight="false" outlineLevel="0" collapsed="false">
      <c r="A475" s="13"/>
      <c r="B475" s="48"/>
      <c r="C475" s="48"/>
      <c r="D475" s="48"/>
      <c r="E475" s="15"/>
      <c r="F475" s="15"/>
      <c r="G475" s="16"/>
      <c r="H475" s="17"/>
      <c r="I475" s="17"/>
      <c r="J475" s="17"/>
      <c r="K475" s="17"/>
      <c r="L475" s="16"/>
      <c r="M475" s="17"/>
      <c r="N475" s="16"/>
      <c r="O475" s="17"/>
      <c r="P475" s="15"/>
      <c r="Q475" s="17"/>
      <c r="R475" s="17"/>
      <c r="S475" s="17"/>
      <c r="T475" s="17"/>
      <c r="U475" s="18" t="str">
        <f aca="false">IF(A475="","",IF(N(G475)-N(L475)-N(N475)&lt;0,"Check shares",IF(AND(P475&lt;&gt;"",Q475&lt;&gt;""),"Closed","Open")))</f>
        <v/>
      </c>
      <c r="V475" s="19" t="str">
        <f aca="false">IF(OR(F475="",P475=""),"",NETWORKDAYS(F475,P475,Lists!$F$5:$F$40)-1)</f>
        <v/>
      </c>
      <c r="W475" s="18" t="str">
        <f aca="false">IF(V475="","",IF(V475=0,"Same day","Overnight"))</f>
        <v/>
      </c>
      <c r="X475" s="18" t="str">
        <f aca="false">IF(OR(E475="",F475=""),"",IF(AND(E475&gt;=F475,OR(P475="",E475&lt;=P475)),"Yes","No"))</f>
        <v/>
      </c>
      <c r="Y475" s="20" t="str">
        <f aca="false">IF(A475="","",N(G475)-N(L475)-N(N475))</f>
        <v/>
      </c>
      <c r="Z475" s="21" t="str">
        <f aca="false">IF(OR(G475="",H475="",I475=""),"",ABS(H475-I475)*G475)</f>
        <v/>
      </c>
      <c r="AA475" s="22" t="str">
        <f aca="false">IF(OR(J475="",N(Z475)=0),"",ABS(J475-H475)/ABS(H475-I475))</f>
        <v/>
      </c>
      <c r="AB475" s="23" t="str">
        <f aca="false">IF(U475&lt;&gt;"Closed","",(N(L475)*N(M475)+N(N475)*N(O475)+Y475*Q475)/G475)</f>
        <v/>
      </c>
      <c r="AC475" s="24" t="str">
        <f aca="false">IF(U475&lt;&gt;"Closed","",IF($B475="Short",-1,1)*((N(M475)-H475)*N(L475)+(N(O475)-H475)*N(N475)+(Q475-H475)*Y475)-N(R475))</f>
        <v/>
      </c>
      <c r="AD475" s="25" t="str">
        <f aca="false">IF(OR(AC475="",N(Z475)=0),"",AC475/Z475)</f>
        <v/>
      </c>
      <c r="AE475" s="25" t="str">
        <f aca="false">IF(OR(S475="",N(Z475)=0),"",IF($B475="Short",-1,1)*(S475-H475)*G475/Z475)</f>
        <v/>
      </c>
      <c r="AF475" s="25" t="str">
        <f aca="false">IF(OR(T475="",N(Z475)=0),"",IF($B475="Short",-1,1)*(T475-H475)*G475/Z475)</f>
        <v/>
      </c>
      <c r="AG475" s="21" t="str">
        <f aca="false">IF(U475&lt;&gt;"Open","",Y475*MAX(0,IF($B475="Short",-1,1)*(H475-IF(K475="",I475,K475))))</f>
        <v/>
      </c>
      <c r="AH475" s="26" t="str">
        <f aca="false">IF(U475&lt;&gt;"Closed","",DATE(YEAR(P475),MONTH(P475),1))</f>
        <v/>
      </c>
      <c r="AI475" s="19" t="str">
        <f aca="false">IF(U475&lt;&gt;"Closed","",COUNTIFS($U$7:$U$506,"Closed",$P$7:$P$506,"&lt;"&amp;P475)+COUNTIFS($U$7:U475,"Closed",$P$7:P475,P475))</f>
        <v/>
      </c>
    </row>
    <row r="476" customFormat="false" ht="15" hidden="false" customHeight="false" outlineLevel="0" collapsed="false">
      <c r="A476" s="13"/>
      <c r="B476" s="48"/>
      <c r="C476" s="48"/>
      <c r="D476" s="48"/>
      <c r="E476" s="15"/>
      <c r="F476" s="15"/>
      <c r="G476" s="16"/>
      <c r="H476" s="17"/>
      <c r="I476" s="17"/>
      <c r="J476" s="17"/>
      <c r="K476" s="17"/>
      <c r="L476" s="16"/>
      <c r="M476" s="17"/>
      <c r="N476" s="16"/>
      <c r="O476" s="17"/>
      <c r="P476" s="15"/>
      <c r="Q476" s="17"/>
      <c r="R476" s="17"/>
      <c r="S476" s="17"/>
      <c r="T476" s="17"/>
      <c r="U476" s="18" t="str">
        <f aca="false">IF(A476="","",IF(N(G476)-N(L476)-N(N476)&lt;0,"Check shares",IF(AND(P476&lt;&gt;"",Q476&lt;&gt;""),"Closed","Open")))</f>
        <v/>
      </c>
      <c r="V476" s="19" t="str">
        <f aca="false">IF(OR(F476="",P476=""),"",NETWORKDAYS(F476,P476,Lists!$F$5:$F$40)-1)</f>
        <v/>
      </c>
      <c r="W476" s="18" t="str">
        <f aca="false">IF(V476="","",IF(V476=0,"Same day","Overnight"))</f>
        <v/>
      </c>
      <c r="X476" s="18" t="str">
        <f aca="false">IF(OR(E476="",F476=""),"",IF(AND(E476&gt;=F476,OR(P476="",E476&lt;=P476)),"Yes","No"))</f>
        <v/>
      </c>
      <c r="Y476" s="20" t="str">
        <f aca="false">IF(A476="","",N(G476)-N(L476)-N(N476))</f>
        <v/>
      </c>
      <c r="Z476" s="21" t="str">
        <f aca="false">IF(OR(G476="",H476="",I476=""),"",ABS(H476-I476)*G476)</f>
        <v/>
      </c>
      <c r="AA476" s="22" t="str">
        <f aca="false">IF(OR(J476="",N(Z476)=0),"",ABS(J476-H476)/ABS(H476-I476))</f>
        <v/>
      </c>
      <c r="AB476" s="23" t="str">
        <f aca="false">IF(U476&lt;&gt;"Closed","",(N(L476)*N(M476)+N(N476)*N(O476)+Y476*Q476)/G476)</f>
        <v/>
      </c>
      <c r="AC476" s="24" t="str">
        <f aca="false">IF(U476&lt;&gt;"Closed","",IF($B476="Short",-1,1)*((N(M476)-H476)*N(L476)+(N(O476)-H476)*N(N476)+(Q476-H476)*Y476)-N(R476))</f>
        <v/>
      </c>
      <c r="AD476" s="25" t="str">
        <f aca="false">IF(OR(AC476="",N(Z476)=0),"",AC476/Z476)</f>
        <v/>
      </c>
      <c r="AE476" s="25" t="str">
        <f aca="false">IF(OR(S476="",N(Z476)=0),"",IF($B476="Short",-1,1)*(S476-H476)*G476/Z476)</f>
        <v/>
      </c>
      <c r="AF476" s="25" t="str">
        <f aca="false">IF(OR(T476="",N(Z476)=0),"",IF($B476="Short",-1,1)*(T476-H476)*G476/Z476)</f>
        <v/>
      </c>
      <c r="AG476" s="21" t="str">
        <f aca="false">IF(U476&lt;&gt;"Open","",Y476*MAX(0,IF($B476="Short",-1,1)*(H476-IF(K476="",I476,K476))))</f>
        <v/>
      </c>
      <c r="AH476" s="26" t="str">
        <f aca="false">IF(U476&lt;&gt;"Closed","",DATE(YEAR(P476),MONTH(P476),1))</f>
        <v/>
      </c>
      <c r="AI476" s="19" t="str">
        <f aca="false">IF(U476&lt;&gt;"Closed","",COUNTIFS($U$7:$U$506,"Closed",$P$7:$P$506,"&lt;"&amp;P476)+COUNTIFS($U$7:U476,"Closed",$P$7:P476,P476))</f>
        <v/>
      </c>
    </row>
    <row r="477" customFormat="false" ht="15" hidden="false" customHeight="false" outlineLevel="0" collapsed="false">
      <c r="A477" s="13"/>
      <c r="B477" s="48"/>
      <c r="C477" s="48"/>
      <c r="D477" s="48"/>
      <c r="E477" s="15"/>
      <c r="F477" s="15"/>
      <c r="G477" s="16"/>
      <c r="H477" s="17"/>
      <c r="I477" s="17"/>
      <c r="J477" s="17"/>
      <c r="K477" s="17"/>
      <c r="L477" s="16"/>
      <c r="M477" s="17"/>
      <c r="N477" s="16"/>
      <c r="O477" s="17"/>
      <c r="P477" s="15"/>
      <c r="Q477" s="17"/>
      <c r="R477" s="17"/>
      <c r="S477" s="17"/>
      <c r="T477" s="17"/>
      <c r="U477" s="18" t="str">
        <f aca="false">IF(A477="","",IF(N(G477)-N(L477)-N(N477)&lt;0,"Check shares",IF(AND(P477&lt;&gt;"",Q477&lt;&gt;""),"Closed","Open")))</f>
        <v/>
      </c>
      <c r="V477" s="19" t="str">
        <f aca="false">IF(OR(F477="",P477=""),"",NETWORKDAYS(F477,P477,Lists!$F$5:$F$40)-1)</f>
        <v/>
      </c>
      <c r="W477" s="18" t="str">
        <f aca="false">IF(V477="","",IF(V477=0,"Same day","Overnight"))</f>
        <v/>
      </c>
      <c r="X477" s="18" t="str">
        <f aca="false">IF(OR(E477="",F477=""),"",IF(AND(E477&gt;=F477,OR(P477="",E477&lt;=P477)),"Yes","No"))</f>
        <v/>
      </c>
      <c r="Y477" s="20" t="str">
        <f aca="false">IF(A477="","",N(G477)-N(L477)-N(N477))</f>
        <v/>
      </c>
      <c r="Z477" s="21" t="str">
        <f aca="false">IF(OR(G477="",H477="",I477=""),"",ABS(H477-I477)*G477)</f>
        <v/>
      </c>
      <c r="AA477" s="22" t="str">
        <f aca="false">IF(OR(J477="",N(Z477)=0),"",ABS(J477-H477)/ABS(H477-I477))</f>
        <v/>
      </c>
      <c r="AB477" s="23" t="str">
        <f aca="false">IF(U477&lt;&gt;"Closed","",(N(L477)*N(M477)+N(N477)*N(O477)+Y477*Q477)/G477)</f>
        <v/>
      </c>
      <c r="AC477" s="24" t="str">
        <f aca="false">IF(U477&lt;&gt;"Closed","",IF($B477="Short",-1,1)*((N(M477)-H477)*N(L477)+(N(O477)-H477)*N(N477)+(Q477-H477)*Y477)-N(R477))</f>
        <v/>
      </c>
      <c r="AD477" s="25" t="str">
        <f aca="false">IF(OR(AC477="",N(Z477)=0),"",AC477/Z477)</f>
        <v/>
      </c>
      <c r="AE477" s="25" t="str">
        <f aca="false">IF(OR(S477="",N(Z477)=0),"",IF($B477="Short",-1,1)*(S477-H477)*G477/Z477)</f>
        <v/>
      </c>
      <c r="AF477" s="25" t="str">
        <f aca="false">IF(OR(T477="",N(Z477)=0),"",IF($B477="Short",-1,1)*(T477-H477)*G477/Z477)</f>
        <v/>
      </c>
      <c r="AG477" s="21" t="str">
        <f aca="false">IF(U477&lt;&gt;"Open","",Y477*MAX(0,IF($B477="Short",-1,1)*(H477-IF(K477="",I477,K477))))</f>
        <v/>
      </c>
      <c r="AH477" s="26" t="str">
        <f aca="false">IF(U477&lt;&gt;"Closed","",DATE(YEAR(P477),MONTH(P477),1))</f>
        <v/>
      </c>
      <c r="AI477" s="19" t="str">
        <f aca="false">IF(U477&lt;&gt;"Closed","",COUNTIFS($U$7:$U$506,"Closed",$P$7:$P$506,"&lt;"&amp;P477)+COUNTIFS($U$7:U477,"Closed",$P$7:P477,P477))</f>
        <v/>
      </c>
    </row>
    <row r="478" customFormat="false" ht="15" hidden="false" customHeight="false" outlineLevel="0" collapsed="false">
      <c r="A478" s="13"/>
      <c r="B478" s="48"/>
      <c r="C478" s="48"/>
      <c r="D478" s="48"/>
      <c r="E478" s="15"/>
      <c r="F478" s="15"/>
      <c r="G478" s="16"/>
      <c r="H478" s="17"/>
      <c r="I478" s="17"/>
      <c r="J478" s="17"/>
      <c r="K478" s="17"/>
      <c r="L478" s="16"/>
      <c r="M478" s="17"/>
      <c r="N478" s="16"/>
      <c r="O478" s="17"/>
      <c r="P478" s="15"/>
      <c r="Q478" s="17"/>
      <c r="R478" s="17"/>
      <c r="S478" s="17"/>
      <c r="T478" s="17"/>
      <c r="U478" s="18" t="str">
        <f aca="false">IF(A478="","",IF(N(G478)-N(L478)-N(N478)&lt;0,"Check shares",IF(AND(P478&lt;&gt;"",Q478&lt;&gt;""),"Closed","Open")))</f>
        <v/>
      </c>
      <c r="V478" s="19" t="str">
        <f aca="false">IF(OR(F478="",P478=""),"",NETWORKDAYS(F478,P478,Lists!$F$5:$F$40)-1)</f>
        <v/>
      </c>
      <c r="W478" s="18" t="str">
        <f aca="false">IF(V478="","",IF(V478=0,"Same day","Overnight"))</f>
        <v/>
      </c>
      <c r="X478" s="18" t="str">
        <f aca="false">IF(OR(E478="",F478=""),"",IF(AND(E478&gt;=F478,OR(P478="",E478&lt;=P478)),"Yes","No"))</f>
        <v/>
      </c>
      <c r="Y478" s="20" t="str">
        <f aca="false">IF(A478="","",N(G478)-N(L478)-N(N478))</f>
        <v/>
      </c>
      <c r="Z478" s="21" t="str">
        <f aca="false">IF(OR(G478="",H478="",I478=""),"",ABS(H478-I478)*G478)</f>
        <v/>
      </c>
      <c r="AA478" s="22" t="str">
        <f aca="false">IF(OR(J478="",N(Z478)=0),"",ABS(J478-H478)/ABS(H478-I478))</f>
        <v/>
      </c>
      <c r="AB478" s="23" t="str">
        <f aca="false">IF(U478&lt;&gt;"Closed","",(N(L478)*N(M478)+N(N478)*N(O478)+Y478*Q478)/G478)</f>
        <v/>
      </c>
      <c r="AC478" s="24" t="str">
        <f aca="false">IF(U478&lt;&gt;"Closed","",IF($B478="Short",-1,1)*((N(M478)-H478)*N(L478)+(N(O478)-H478)*N(N478)+(Q478-H478)*Y478)-N(R478))</f>
        <v/>
      </c>
      <c r="AD478" s="25" t="str">
        <f aca="false">IF(OR(AC478="",N(Z478)=0),"",AC478/Z478)</f>
        <v/>
      </c>
      <c r="AE478" s="25" t="str">
        <f aca="false">IF(OR(S478="",N(Z478)=0),"",IF($B478="Short",-1,1)*(S478-H478)*G478/Z478)</f>
        <v/>
      </c>
      <c r="AF478" s="25" t="str">
        <f aca="false">IF(OR(T478="",N(Z478)=0),"",IF($B478="Short",-1,1)*(T478-H478)*G478/Z478)</f>
        <v/>
      </c>
      <c r="AG478" s="21" t="str">
        <f aca="false">IF(U478&lt;&gt;"Open","",Y478*MAX(0,IF($B478="Short",-1,1)*(H478-IF(K478="",I478,K478))))</f>
        <v/>
      </c>
      <c r="AH478" s="26" t="str">
        <f aca="false">IF(U478&lt;&gt;"Closed","",DATE(YEAR(P478),MONTH(P478),1))</f>
        <v/>
      </c>
      <c r="AI478" s="19" t="str">
        <f aca="false">IF(U478&lt;&gt;"Closed","",COUNTIFS($U$7:$U$506,"Closed",$P$7:$P$506,"&lt;"&amp;P478)+COUNTIFS($U$7:U478,"Closed",$P$7:P478,P478))</f>
        <v/>
      </c>
    </row>
    <row r="479" customFormat="false" ht="15" hidden="false" customHeight="false" outlineLevel="0" collapsed="false">
      <c r="A479" s="13"/>
      <c r="B479" s="48"/>
      <c r="C479" s="48"/>
      <c r="D479" s="48"/>
      <c r="E479" s="15"/>
      <c r="F479" s="15"/>
      <c r="G479" s="16"/>
      <c r="H479" s="17"/>
      <c r="I479" s="17"/>
      <c r="J479" s="17"/>
      <c r="K479" s="17"/>
      <c r="L479" s="16"/>
      <c r="M479" s="17"/>
      <c r="N479" s="16"/>
      <c r="O479" s="17"/>
      <c r="P479" s="15"/>
      <c r="Q479" s="17"/>
      <c r="R479" s="17"/>
      <c r="S479" s="17"/>
      <c r="T479" s="17"/>
      <c r="U479" s="18" t="str">
        <f aca="false">IF(A479="","",IF(N(G479)-N(L479)-N(N479)&lt;0,"Check shares",IF(AND(P479&lt;&gt;"",Q479&lt;&gt;""),"Closed","Open")))</f>
        <v/>
      </c>
      <c r="V479" s="19" t="str">
        <f aca="false">IF(OR(F479="",P479=""),"",NETWORKDAYS(F479,P479,Lists!$F$5:$F$40)-1)</f>
        <v/>
      </c>
      <c r="W479" s="18" t="str">
        <f aca="false">IF(V479="","",IF(V479=0,"Same day","Overnight"))</f>
        <v/>
      </c>
      <c r="X479" s="18" t="str">
        <f aca="false">IF(OR(E479="",F479=""),"",IF(AND(E479&gt;=F479,OR(P479="",E479&lt;=P479)),"Yes","No"))</f>
        <v/>
      </c>
      <c r="Y479" s="20" t="str">
        <f aca="false">IF(A479="","",N(G479)-N(L479)-N(N479))</f>
        <v/>
      </c>
      <c r="Z479" s="21" t="str">
        <f aca="false">IF(OR(G479="",H479="",I479=""),"",ABS(H479-I479)*G479)</f>
        <v/>
      </c>
      <c r="AA479" s="22" t="str">
        <f aca="false">IF(OR(J479="",N(Z479)=0),"",ABS(J479-H479)/ABS(H479-I479))</f>
        <v/>
      </c>
      <c r="AB479" s="23" t="str">
        <f aca="false">IF(U479&lt;&gt;"Closed","",(N(L479)*N(M479)+N(N479)*N(O479)+Y479*Q479)/G479)</f>
        <v/>
      </c>
      <c r="AC479" s="24" t="str">
        <f aca="false">IF(U479&lt;&gt;"Closed","",IF($B479="Short",-1,1)*((N(M479)-H479)*N(L479)+(N(O479)-H479)*N(N479)+(Q479-H479)*Y479)-N(R479))</f>
        <v/>
      </c>
      <c r="AD479" s="25" t="str">
        <f aca="false">IF(OR(AC479="",N(Z479)=0),"",AC479/Z479)</f>
        <v/>
      </c>
      <c r="AE479" s="25" t="str">
        <f aca="false">IF(OR(S479="",N(Z479)=0),"",IF($B479="Short",-1,1)*(S479-H479)*G479/Z479)</f>
        <v/>
      </c>
      <c r="AF479" s="25" t="str">
        <f aca="false">IF(OR(T479="",N(Z479)=0),"",IF($B479="Short",-1,1)*(T479-H479)*G479/Z479)</f>
        <v/>
      </c>
      <c r="AG479" s="21" t="str">
        <f aca="false">IF(U479&lt;&gt;"Open","",Y479*MAX(0,IF($B479="Short",-1,1)*(H479-IF(K479="",I479,K479))))</f>
        <v/>
      </c>
      <c r="AH479" s="26" t="str">
        <f aca="false">IF(U479&lt;&gt;"Closed","",DATE(YEAR(P479),MONTH(P479),1))</f>
        <v/>
      </c>
      <c r="AI479" s="19" t="str">
        <f aca="false">IF(U479&lt;&gt;"Closed","",COUNTIFS($U$7:$U$506,"Closed",$P$7:$P$506,"&lt;"&amp;P479)+COUNTIFS($U$7:U479,"Closed",$P$7:P479,P479))</f>
        <v/>
      </c>
    </row>
    <row r="480" customFormat="false" ht="15" hidden="false" customHeight="false" outlineLevel="0" collapsed="false">
      <c r="A480" s="13"/>
      <c r="B480" s="48"/>
      <c r="C480" s="48"/>
      <c r="D480" s="48"/>
      <c r="E480" s="15"/>
      <c r="F480" s="15"/>
      <c r="G480" s="16"/>
      <c r="H480" s="17"/>
      <c r="I480" s="17"/>
      <c r="J480" s="17"/>
      <c r="K480" s="17"/>
      <c r="L480" s="16"/>
      <c r="M480" s="17"/>
      <c r="N480" s="16"/>
      <c r="O480" s="17"/>
      <c r="P480" s="15"/>
      <c r="Q480" s="17"/>
      <c r="R480" s="17"/>
      <c r="S480" s="17"/>
      <c r="T480" s="17"/>
      <c r="U480" s="18" t="str">
        <f aca="false">IF(A480="","",IF(N(G480)-N(L480)-N(N480)&lt;0,"Check shares",IF(AND(P480&lt;&gt;"",Q480&lt;&gt;""),"Closed","Open")))</f>
        <v/>
      </c>
      <c r="V480" s="19" t="str">
        <f aca="false">IF(OR(F480="",P480=""),"",NETWORKDAYS(F480,P480,Lists!$F$5:$F$40)-1)</f>
        <v/>
      </c>
      <c r="W480" s="18" t="str">
        <f aca="false">IF(V480="","",IF(V480=0,"Same day","Overnight"))</f>
        <v/>
      </c>
      <c r="X480" s="18" t="str">
        <f aca="false">IF(OR(E480="",F480=""),"",IF(AND(E480&gt;=F480,OR(P480="",E480&lt;=P480)),"Yes","No"))</f>
        <v/>
      </c>
      <c r="Y480" s="20" t="str">
        <f aca="false">IF(A480="","",N(G480)-N(L480)-N(N480))</f>
        <v/>
      </c>
      <c r="Z480" s="21" t="str">
        <f aca="false">IF(OR(G480="",H480="",I480=""),"",ABS(H480-I480)*G480)</f>
        <v/>
      </c>
      <c r="AA480" s="22" t="str">
        <f aca="false">IF(OR(J480="",N(Z480)=0),"",ABS(J480-H480)/ABS(H480-I480))</f>
        <v/>
      </c>
      <c r="AB480" s="23" t="str">
        <f aca="false">IF(U480&lt;&gt;"Closed","",(N(L480)*N(M480)+N(N480)*N(O480)+Y480*Q480)/G480)</f>
        <v/>
      </c>
      <c r="AC480" s="24" t="str">
        <f aca="false">IF(U480&lt;&gt;"Closed","",IF($B480="Short",-1,1)*((N(M480)-H480)*N(L480)+(N(O480)-H480)*N(N480)+(Q480-H480)*Y480)-N(R480))</f>
        <v/>
      </c>
      <c r="AD480" s="25" t="str">
        <f aca="false">IF(OR(AC480="",N(Z480)=0),"",AC480/Z480)</f>
        <v/>
      </c>
      <c r="AE480" s="25" t="str">
        <f aca="false">IF(OR(S480="",N(Z480)=0),"",IF($B480="Short",-1,1)*(S480-H480)*G480/Z480)</f>
        <v/>
      </c>
      <c r="AF480" s="25" t="str">
        <f aca="false">IF(OR(T480="",N(Z480)=0),"",IF($B480="Short",-1,1)*(T480-H480)*G480/Z480)</f>
        <v/>
      </c>
      <c r="AG480" s="21" t="str">
        <f aca="false">IF(U480&lt;&gt;"Open","",Y480*MAX(0,IF($B480="Short",-1,1)*(H480-IF(K480="",I480,K480))))</f>
        <v/>
      </c>
      <c r="AH480" s="26" t="str">
        <f aca="false">IF(U480&lt;&gt;"Closed","",DATE(YEAR(P480),MONTH(P480),1))</f>
        <v/>
      </c>
      <c r="AI480" s="19" t="str">
        <f aca="false">IF(U480&lt;&gt;"Closed","",COUNTIFS($U$7:$U$506,"Closed",$P$7:$P$506,"&lt;"&amp;P480)+COUNTIFS($U$7:U480,"Closed",$P$7:P480,P480))</f>
        <v/>
      </c>
    </row>
    <row r="481" customFormat="false" ht="15" hidden="false" customHeight="false" outlineLevel="0" collapsed="false">
      <c r="A481" s="13"/>
      <c r="B481" s="48"/>
      <c r="C481" s="48"/>
      <c r="D481" s="48"/>
      <c r="E481" s="15"/>
      <c r="F481" s="15"/>
      <c r="G481" s="16"/>
      <c r="H481" s="17"/>
      <c r="I481" s="17"/>
      <c r="J481" s="17"/>
      <c r="K481" s="17"/>
      <c r="L481" s="16"/>
      <c r="M481" s="17"/>
      <c r="N481" s="16"/>
      <c r="O481" s="17"/>
      <c r="P481" s="15"/>
      <c r="Q481" s="17"/>
      <c r="R481" s="17"/>
      <c r="S481" s="17"/>
      <c r="T481" s="17"/>
      <c r="U481" s="18" t="str">
        <f aca="false">IF(A481="","",IF(N(G481)-N(L481)-N(N481)&lt;0,"Check shares",IF(AND(P481&lt;&gt;"",Q481&lt;&gt;""),"Closed","Open")))</f>
        <v/>
      </c>
      <c r="V481" s="19" t="str">
        <f aca="false">IF(OR(F481="",P481=""),"",NETWORKDAYS(F481,P481,Lists!$F$5:$F$40)-1)</f>
        <v/>
      </c>
      <c r="W481" s="18" t="str">
        <f aca="false">IF(V481="","",IF(V481=0,"Same day","Overnight"))</f>
        <v/>
      </c>
      <c r="X481" s="18" t="str">
        <f aca="false">IF(OR(E481="",F481=""),"",IF(AND(E481&gt;=F481,OR(P481="",E481&lt;=P481)),"Yes","No"))</f>
        <v/>
      </c>
      <c r="Y481" s="20" t="str">
        <f aca="false">IF(A481="","",N(G481)-N(L481)-N(N481))</f>
        <v/>
      </c>
      <c r="Z481" s="21" t="str">
        <f aca="false">IF(OR(G481="",H481="",I481=""),"",ABS(H481-I481)*G481)</f>
        <v/>
      </c>
      <c r="AA481" s="22" t="str">
        <f aca="false">IF(OR(J481="",N(Z481)=0),"",ABS(J481-H481)/ABS(H481-I481))</f>
        <v/>
      </c>
      <c r="AB481" s="23" t="str">
        <f aca="false">IF(U481&lt;&gt;"Closed","",(N(L481)*N(M481)+N(N481)*N(O481)+Y481*Q481)/G481)</f>
        <v/>
      </c>
      <c r="AC481" s="24" t="str">
        <f aca="false">IF(U481&lt;&gt;"Closed","",IF($B481="Short",-1,1)*((N(M481)-H481)*N(L481)+(N(O481)-H481)*N(N481)+(Q481-H481)*Y481)-N(R481))</f>
        <v/>
      </c>
      <c r="AD481" s="25" t="str">
        <f aca="false">IF(OR(AC481="",N(Z481)=0),"",AC481/Z481)</f>
        <v/>
      </c>
      <c r="AE481" s="25" t="str">
        <f aca="false">IF(OR(S481="",N(Z481)=0),"",IF($B481="Short",-1,1)*(S481-H481)*G481/Z481)</f>
        <v/>
      </c>
      <c r="AF481" s="25" t="str">
        <f aca="false">IF(OR(T481="",N(Z481)=0),"",IF($B481="Short",-1,1)*(T481-H481)*G481/Z481)</f>
        <v/>
      </c>
      <c r="AG481" s="21" t="str">
        <f aca="false">IF(U481&lt;&gt;"Open","",Y481*MAX(0,IF($B481="Short",-1,1)*(H481-IF(K481="",I481,K481))))</f>
        <v/>
      </c>
      <c r="AH481" s="26" t="str">
        <f aca="false">IF(U481&lt;&gt;"Closed","",DATE(YEAR(P481),MONTH(P481),1))</f>
        <v/>
      </c>
      <c r="AI481" s="19" t="str">
        <f aca="false">IF(U481&lt;&gt;"Closed","",COUNTIFS($U$7:$U$506,"Closed",$P$7:$P$506,"&lt;"&amp;P481)+COUNTIFS($U$7:U481,"Closed",$P$7:P481,P481))</f>
        <v/>
      </c>
    </row>
    <row r="482" customFormat="false" ht="15" hidden="false" customHeight="false" outlineLevel="0" collapsed="false">
      <c r="A482" s="13"/>
      <c r="B482" s="48"/>
      <c r="C482" s="48"/>
      <c r="D482" s="48"/>
      <c r="E482" s="15"/>
      <c r="F482" s="15"/>
      <c r="G482" s="16"/>
      <c r="H482" s="17"/>
      <c r="I482" s="17"/>
      <c r="J482" s="17"/>
      <c r="K482" s="17"/>
      <c r="L482" s="16"/>
      <c r="M482" s="17"/>
      <c r="N482" s="16"/>
      <c r="O482" s="17"/>
      <c r="P482" s="15"/>
      <c r="Q482" s="17"/>
      <c r="R482" s="17"/>
      <c r="S482" s="17"/>
      <c r="T482" s="17"/>
      <c r="U482" s="18" t="str">
        <f aca="false">IF(A482="","",IF(N(G482)-N(L482)-N(N482)&lt;0,"Check shares",IF(AND(P482&lt;&gt;"",Q482&lt;&gt;""),"Closed","Open")))</f>
        <v/>
      </c>
      <c r="V482" s="19" t="str">
        <f aca="false">IF(OR(F482="",P482=""),"",NETWORKDAYS(F482,P482,Lists!$F$5:$F$40)-1)</f>
        <v/>
      </c>
      <c r="W482" s="18" t="str">
        <f aca="false">IF(V482="","",IF(V482=0,"Same day","Overnight"))</f>
        <v/>
      </c>
      <c r="X482" s="18" t="str">
        <f aca="false">IF(OR(E482="",F482=""),"",IF(AND(E482&gt;=F482,OR(P482="",E482&lt;=P482)),"Yes","No"))</f>
        <v/>
      </c>
      <c r="Y482" s="20" t="str">
        <f aca="false">IF(A482="","",N(G482)-N(L482)-N(N482))</f>
        <v/>
      </c>
      <c r="Z482" s="21" t="str">
        <f aca="false">IF(OR(G482="",H482="",I482=""),"",ABS(H482-I482)*G482)</f>
        <v/>
      </c>
      <c r="AA482" s="22" t="str">
        <f aca="false">IF(OR(J482="",N(Z482)=0),"",ABS(J482-H482)/ABS(H482-I482))</f>
        <v/>
      </c>
      <c r="AB482" s="23" t="str">
        <f aca="false">IF(U482&lt;&gt;"Closed","",(N(L482)*N(M482)+N(N482)*N(O482)+Y482*Q482)/G482)</f>
        <v/>
      </c>
      <c r="AC482" s="24" t="str">
        <f aca="false">IF(U482&lt;&gt;"Closed","",IF($B482="Short",-1,1)*((N(M482)-H482)*N(L482)+(N(O482)-H482)*N(N482)+(Q482-H482)*Y482)-N(R482))</f>
        <v/>
      </c>
      <c r="AD482" s="25" t="str">
        <f aca="false">IF(OR(AC482="",N(Z482)=0),"",AC482/Z482)</f>
        <v/>
      </c>
      <c r="AE482" s="25" t="str">
        <f aca="false">IF(OR(S482="",N(Z482)=0),"",IF($B482="Short",-1,1)*(S482-H482)*G482/Z482)</f>
        <v/>
      </c>
      <c r="AF482" s="25" t="str">
        <f aca="false">IF(OR(T482="",N(Z482)=0),"",IF($B482="Short",-1,1)*(T482-H482)*G482/Z482)</f>
        <v/>
      </c>
      <c r="AG482" s="21" t="str">
        <f aca="false">IF(U482&lt;&gt;"Open","",Y482*MAX(0,IF($B482="Short",-1,1)*(H482-IF(K482="",I482,K482))))</f>
        <v/>
      </c>
      <c r="AH482" s="26" t="str">
        <f aca="false">IF(U482&lt;&gt;"Closed","",DATE(YEAR(P482),MONTH(P482),1))</f>
        <v/>
      </c>
      <c r="AI482" s="19" t="str">
        <f aca="false">IF(U482&lt;&gt;"Closed","",COUNTIFS($U$7:$U$506,"Closed",$P$7:$P$506,"&lt;"&amp;P482)+COUNTIFS($U$7:U482,"Closed",$P$7:P482,P482))</f>
        <v/>
      </c>
    </row>
    <row r="483" customFormat="false" ht="15" hidden="false" customHeight="false" outlineLevel="0" collapsed="false">
      <c r="A483" s="13"/>
      <c r="B483" s="48"/>
      <c r="C483" s="48"/>
      <c r="D483" s="48"/>
      <c r="E483" s="15"/>
      <c r="F483" s="15"/>
      <c r="G483" s="16"/>
      <c r="H483" s="17"/>
      <c r="I483" s="17"/>
      <c r="J483" s="17"/>
      <c r="K483" s="17"/>
      <c r="L483" s="16"/>
      <c r="M483" s="17"/>
      <c r="N483" s="16"/>
      <c r="O483" s="17"/>
      <c r="P483" s="15"/>
      <c r="Q483" s="17"/>
      <c r="R483" s="17"/>
      <c r="S483" s="17"/>
      <c r="T483" s="17"/>
      <c r="U483" s="18" t="str">
        <f aca="false">IF(A483="","",IF(N(G483)-N(L483)-N(N483)&lt;0,"Check shares",IF(AND(P483&lt;&gt;"",Q483&lt;&gt;""),"Closed","Open")))</f>
        <v/>
      </c>
      <c r="V483" s="19" t="str">
        <f aca="false">IF(OR(F483="",P483=""),"",NETWORKDAYS(F483,P483,Lists!$F$5:$F$40)-1)</f>
        <v/>
      </c>
      <c r="W483" s="18" t="str">
        <f aca="false">IF(V483="","",IF(V483=0,"Same day","Overnight"))</f>
        <v/>
      </c>
      <c r="X483" s="18" t="str">
        <f aca="false">IF(OR(E483="",F483=""),"",IF(AND(E483&gt;=F483,OR(P483="",E483&lt;=P483)),"Yes","No"))</f>
        <v/>
      </c>
      <c r="Y483" s="20" t="str">
        <f aca="false">IF(A483="","",N(G483)-N(L483)-N(N483))</f>
        <v/>
      </c>
      <c r="Z483" s="21" t="str">
        <f aca="false">IF(OR(G483="",H483="",I483=""),"",ABS(H483-I483)*G483)</f>
        <v/>
      </c>
      <c r="AA483" s="22" t="str">
        <f aca="false">IF(OR(J483="",N(Z483)=0),"",ABS(J483-H483)/ABS(H483-I483))</f>
        <v/>
      </c>
      <c r="AB483" s="23" t="str">
        <f aca="false">IF(U483&lt;&gt;"Closed","",(N(L483)*N(M483)+N(N483)*N(O483)+Y483*Q483)/G483)</f>
        <v/>
      </c>
      <c r="AC483" s="24" t="str">
        <f aca="false">IF(U483&lt;&gt;"Closed","",IF($B483="Short",-1,1)*((N(M483)-H483)*N(L483)+(N(O483)-H483)*N(N483)+(Q483-H483)*Y483)-N(R483))</f>
        <v/>
      </c>
      <c r="AD483" s="25" t="str">
        <f aca="false">IF(OR(AC483="",N(Z483)=0),"",AC483/Z483)</f>
        <v/>
      </c>
      <c r="AE483" s="25" t="str">
        <f aca="false">IF(OR(S483="",N(Z483)=0),"",IF($B483="Short",-1,1)*(S483-H483)*G483/Z483)</f>
        <v/>
      </c>
      <c r="AF483" s="25" t="str">
        <f aca="false">IF(OR(T483="",N(Z483)=0),"",IF($B483="Short",-1,1)*(T483-H483)*G483/Z483)</f>
        <v/>
      </c>
      <c r="AG483" s="21" t="str">
        <f aca="false">IF(U483&lt;&gt;"Open","",Y483*MAX(0,IF($B483="Short",-1,1)*(H483-IF(K483="",I483,K483))))</f>
        <v/>
      </c>
      <c r="AH483" s="26" t="str">
        <f aca="false">IF(U483&lt;&gt;"Closed","",DATE(YEAR(P483),MONTH(P483),1))</f>
        <v/>
      </c>
      <c r="AI483" s="19" t="str">
        <f aca="false">IF(U483&lt;&gt;"Closed","",COUNTIFS($U$7:$U$506,"Closed",$P$7:$P$506,"&lt;"&amp;P483)+COUNTIFS($U$7:U483,"Closed",$P$7:P483,P483))</f>
        <v/>
      </c>
    </row>
    <row r="484" customFormat="false" ht="15" hidden="false" customHeight="false" outlineLevel="0" collapsed="false">
      <c r="A484" s="13"/>
      <c r="B484" s="48"/>
      <c r="C484" s="48"/>
      <c r="D484" s="48"/>
      <c r="E484" s="15"/>
      <c r="F484" s="15"/>
      <c r="G484" s="16"/>
      <c r="H484" s="17"/>
      <c r="I484" s="17"/>
      <c r="J484" s="17"/>
      <c r="K484" s="17"/>
      <c r="L484" s="16"/>
      <c r="M484" s="17"/>
      <c r="N484" s="16"/>
      <c r="O484" s="17"/>
      <c r="P484" s="15"/>
      <c r="Q484" s="17"/>
      <c r="R484" s="17"/>
      <c r="S484" s="17"/>
      <c r="T484" s="17"/>
      <c r="U484" s="18" t="str">
        <f aca="false">IF(A484="","",IF(N(G484)-N(L484)-N(N484)&lt;0,"Check shares",IF(AND(P484&lt;&gt;"",Q484&lt;&gt;""),"Closed","Open")))</f>
        <v/>
      </c>
      <c r="V484" s="19" t="str">
        <f aca="false">IF(OR(F484="",P484=""),"",NETWORKDAYS(F484,P484,Lists!$F$5:$F$40)-1)</f>
        <v/>
      </c>
      <c r="W484" s="18" t="str">
        <f aca="false">IF(V484="","",IF(V484=0,"Same day","Overnight"))</f>
        <v/>
      </c>
      <c r="X484" s="18" t="str">
        <f aca="false">IF(OR(E484="",F484=""),"",IF(AND(E484&gt;=F484,OR(P484="",E484&lt;=P484)),"Yes","No"))</f>
        <v/>
      </c>
      <c r="Y484" s="20" t="str">
        <f aca="false">IF(A484="","",N(G484)-N(L484)-N(N484))</f>
        <v/>
      </c>
      <c r="Z484" s="21" t="str">
        <f aca="false">IF(OR(G484="",H484="",I484=""),"",ABS(H484-I484)*G484)</f>
        <v/>
      </c>
      <c r="AA484" s="22" t="str">
        <f aca="false">IF(OR(J484="",N(Z484)=0),"",ABS(J484-H484)/ABS(H484-I484))</f>
        <v/>
      </c>
      <c r="AB484" s="23" t="str">
        <f aca="false">IF(U484&lt;&gt;"Closed","",(N(L484)*N(M484)+N(N484)*N(O484)+Y484*Q484)/G484)</f>
        <v/>
      </c>
      <c r="AC484" s="24" t="str">
        <f aca="false">IF(U484&lt;&gt;"Closed","",IF($B484="Short",-1,1)*((N(M484)-H484)*N(L484)+(N(O484)-H484)*N(N484)+(Q484-H484)*Y484)-N(R484))</f>
        <v/>
      </c>
      <c r="AD484" s="25" t="str">
        <f aca="false">IF(OR(AC484="",N(Z484)=0),"",AC484/Z484)</f>
        <v/>
      </c>
      <c r="AE484" s="25" t="str">
        <f aca="false">IF(OR(S484="",N(Z484)=0),"",IF($B484="Short",-1,1)*(S484-H484)*G484/Z484)</f>
        <v/>
      </c>
      <c r="AF484" s="25" t="str">
        <f aca="false">IF(OR(T484="",N(Z484)=0),"",IF($B484="Short",-1,1)*(T484-H484)*G484/Z484)</f>
        <v/>
      </c>
      <c r="AG484" s="21" t="str">
        <f aca="false">IF(U484&lt;&gt;"Open","",Y484*MAX(0,IF($B484="Short",-1,1)*(H484-IF(K484="",I484,K484))))</f>
        <v/>
      </c>
      <c r="AH484" s="26" t="str">
        <f aca="false">IF(U484&lt;&gt;"Closed","",DATE(YEAR(P484),MONTH(P484),1))</f>
        <v/>
      </c>
      <c r="AI484" s="19" t="str">
        <f aca="false">IF(U484&lt;&gt;"Closed","",COUNTIFS($U$7:$U$506,"Closed",$P$7:$P$506,"&lt;"&amp;P484)+COUNTIFS($U$7:U484,"Closed",$P$7:P484,P484))</f>
        <v/>
      </c>
    </row>
    <row r="485" customFormat="false" ht="15" hidden="false" customHeight="false" outlineLevel="0" collapsed="false">
      <c r="A485" s="13"/>
      <c r="B485" s="48"/>
      <c r="C485" s="48"/>
      <c r="D485" s="48"/>
      <c r="E485" s="15"/>
      <c r="F485" s="15"/>
      <c r="G485" s="16"/>
      <c r="H485" s="17"/>
      <c r="I485" s="17"/>
      <c r="J485" s="17"/>
      <c r="K485" s="17"/>
      <c r="L485" s="16"/>
      <c r="M485" s="17"/>
      <c r="N485" s="16"/>
      <c r="O485" s="17"/>
      <c r="P485" s="15"/>
      <c r="Q485" s="17"/>
      <c r="R485" s="17"/>
      <c r="S485" s="17"/>
      <c r="T485" s="17"/>
      <c r="U485" s="18" t="str">
        <f aca="false">IF(A485="","",IF(N(G485)-N(L485)-N(N485)&lt;0,"Check shares",IF(AND(P485&lt;&gt;"",Q485&lt;&gt;""),"Closed","Open")))</f>
        <v/>
      </c>
      <c r="V485" s="19" t="str">
        <f aca="false">IF(OR(F485="",P485=""),"",NETWORKDAYS(F485,P485,Lists!$F$5:$F$40)-1)</f>
        <v/>
      </c>
      <c r="W485" s="18" t="str">
        <f aca="false">IF(V485="","",IF(V485=0,"Same day","Overnight"))</f>
        <v/>
      </c>
      <c r="X485" s="18" t="str">
        <f aca="false">IF(OR(E485="",F485=""),"",IF(AND(E485&gt;=F485,OR(P485="",E485&lt;=P485)),"Yes","No"))</f>
        <v/>
      </c>
      <c r="Y485" s="20" t="str">
        <f aca="false">IF(A485="","",N(G485)-N(L485)-N(N485))</f>
        <v/>
      </c>
      <c r="Z485" s="21" t="str">
        <f aca="false">IF(OR(G485="",H485="",I485=""),"",ABS(H485-I485)*G485)</f>
        <v/>
      </c>
      <c r="AA485" s="22" t="str">
        <f aca="false">IF(OR(J485="",N(Z485)=0),"",ABS(J485-H485)/ABS(H485-I485))</f>
        <v/>
      </c>
      <c r="AB485" s="23" t="str">
        <f aca="false">IF(U485&lt;&gt;"Closed","",(N(L485)*N(M485)+N(N485)*N(O485)+Y485*Q485)/G485)</f>
        <v/>
      </c>
      <c r="AC485" s="24" t="str">
        <f aca="false">IF(U485&lt;&gt;"Closed","",IF($B485="Short",-1,1)*((N(M485)-H485)*N(L485)+(N(O485)-H485)*N(N485)+(Q485-H485)*Y485)-N(R485))</f>
        <v/>
      </c>
      <c r="AD485" s="25" t="str">
        <f aca="false">IF(OR(AC485="",N(Z485)=0),"",AC485/Z485)</f>
        <v/>
      </c>
      <c r="AE485" s="25" t="str">
        <f aca="false">IF(OR(S485="",N(Z485)=0),"",IF($B485="Short",-1,1)*(S485-H485)*G485/Z485)</f>
        <v/>
      </c>
      <c r="AF485" s="25" t="str">
        <f aca="false">IF(OR(T485="",N(Z485)=0),"",IF($B485="Short",-1,1)*(T485-H485)*G485/Z485)</f>
        <v/>
      </c>
      <c r="AG485" s="21" t="str">
        <f aca="false">IF(U485&lt;&gt;"Open","",Y485*MAX(0,IF($B485="Short",-1,1)*(H485-IF(K485="",I485,K485))))</f>
        <v/>
      </c>
      <c r="AH485" s="26" t="str">
        <f aca="false">IF(U485&lt;&gt;"Closed","",DATE(YEAR(P485),MONTH(P485),1))</f>
        <v/>
      </c>
      <c r="AI485" s="19" t="str">
        <f aca="false">IF(U485&lt;&gt;"Closed","",COUNTIFS($U$7:$U$506,"Closed",$P$7:$P$506,"&lt;"&amp;P485)+COUNTIFS($U$7:U485,"Closed",$P$7:P485,P485))</f>
        <v/>
      </c>
    </row>
    <row r="486" customFormat="false" ht="15" hidden="false" customHeight="false" outlineLevel="0" collapsed="false">
      <c r="A486" s="13"/>
      <c r="B486" s="48"/>
      <c r="C486" s="48"/>
      <c r="D486" s="48"/>
      <c r="E486" s="15"/>
      <c r="F486" s="15"/>
      <c r="G486" s="16"/>
      <c r="H486" s="17"/>
      <c r="I486" s="17"/>
      <c r="J486" s="17"/>
      <c r="K486" s="17"/>
      <c r="L486" s="16"/>
      <c r="M486" s="17"/>
      <c r="N486" s="16"/>
      <c r="O486" s="17"/>
      <c r="P486" s="15"/>
      <c r="Q486" s="17"/>
      <c r="R486" s="17"/>
      <c r="S486" s="17"/>
      <c r="T486" s="17"/>
      <c r="U486" s="18" t="str">
        <f aca="false">IF(A486="","",IF(N(G486)-N(L486)-N(N486)&lt;0,"Check shares",IF(AND(P486&lt;&gt;"",Q486&lt;&gt;""),"Closed","Open")))</f>
        <v/>
      </c>
      <c r="V486" s="19" t="str">
        <f aca="false">IF(OR(F486="",P486=""),"",NETWORKDAYS(F486,P486,Lists!$F$5:$F$40)-1)</f>
        <v/>
      </c>
      <c r="W486" s="18" t="str">
        <f aca="false">IF(V486="","",IF(V486=0,"Same day","Overnight"))</f>
        <v/>
      </c>
      <c r="X486" s="18" t="str">
        <f aca="false">IF(OR(E486="",F486=""),"",IF(AND(E486&gt;=F486,OR(P486="",E486&lt;=P486)),"Yes","No"))</f>
        <v/>
      </c>
      <c r="Y486" s="20" t="str">
        <f aca="false">IF(A486="","",N(G486)-N(L486)-N(N486))</f>
        <v/>
      </c>
      <c r="Z486" s="21" t="str">
        <f aca="false">IF(OR(G486="",H486="",I486=""),"",ABS(H486-I486)*G486)</f>
        <v/>
      </c>
      <c r="AA486" s="22" t="str">
        <f aca="false">IF(OR(J486="",N(Z486)=0),"",ABS(J486-H486)/ABS(H486-I486))</f>
        <v/>
      </c>
      <c r="AB486" s="23" t="str">
        <f aca="false">IF(U486&lt;&gt;"Closed","",(N(L486)*N(M486)+N(N486)*N(O486)+Y486*Q486)/G486)</f>
        <v/>
      </c>
      <c r="AC486" s="24" t="str">
        <f aca="false">IF(U486&lt;&gt;"Closed","",IF($B486="Short",-1,1)*((N(M486)-H486)*N(L486)+(N(O486)-H486)*N(N486)+(Q486-H486)*Y486)-N(R486))</f>
        <v/>
      </c>
      <c r="AD486" s="25" t="str">
        <f aca="false">IF(OR(AC486="",N(Z486)=0),"",AC486/Z486)</f>
        <v/>
      </c>
      <c r="AE486" s="25" t="str">
        <f aca="false">IF(OR(S486="",N(Z486)=0),"",IF($B486="Short",-1,1)*(S486-H486)*G486/Z486)</f>
        <v/>
      </c>
      <c r="AF486" s="25" t="str">
        <f aca="false">IF(OR(T486="",N(Z486)=0),"",IF($B486="Short",-1,1)*(T486-H486)*G486/Z486)</f>
        <v/>
      </c>
      <c r="AG486" s="21" t="str">
        <f aca="false">IF(U486&lt;&gt;"Open","",Y486*MAX(0,IF($B486="Short",-1,1)*(H486-IF(K486="",I486,K486))))</f>
        <v/>
      </c>
      <c r="AH486" s="26" t="str">
        <f aca="false">IF(U486&lt;&gt;"Closed","",DATE(YEAR(P486),MONTH(P486),1))</f>
        <v/>
      </c>
      <c r="AI486" s="19" t="str">
        <f aca="false">IF(U486&lt;&gt;"Closed","",COUNTIFS($U$7:$U$506,"Closed",$P$7:$P$506,"&lt;"&amp;P486)+COUNTIFS($U$7:U486,"Closed",$P$7:P486,P486))</f>
        <v/>
      </c>
    </row>
    <row r="487" customFormat="false" ht="15" hidden="false" customHeight="false" outlineLevel="0" collapsed="false">
      <c r="A487" s="13"/>
      <c r="B487" s="48"/>
      <c r="C487" s="48"/>
      <c r="D487" s="48"/>
      <c r="E487" s="15"/>
      <c r="F487" s="15"/>
      <c r="G487" s="16"/>
      <c r="H487" s="17"/>
      <c r="I487" s="17"/>
      <c r="J487" s="17"/>
      <c r="K487" s="17"/>
      <c r="L487" s="16"/>
      <c r="M487" s="17"/>
      <c r="N487" s="16"/>
      <c r="O487" s="17"/>
      <c r="P487" s="15"/>
      <c r="Q487" s="17"/>
      <c r="R487" s="17"/>
      <c r="S487" s="17"/>
      <c r="T487" s="17"/>
      <c r="U487" s="18" t="str">
        <f aca="false">IF(A487="","",IF(N(G487)-N(L487)-N(N487)&lt;0,"Check shares",IF(AND(P487&lt;&gt;"",Q487&lt;&gt;""),"Closed","Open")))</f>
        <v/>
      </c>
      <c r="V487" s="19" t="str">
        <f aca="false">IF(OR(F487="",P487=""),"",NETWORKDAYS(F487,P487,Lists!$F$5:$F$40)-1)</f>
        <v/>
      </c>
      <c r="W487" s="18" t="str">
        <f aca="false">IF(V487="","",IF(V487=0,"Same day","Overnight"))</f>
        <v/>
      </c>
      <c r="X487" s="18" t="str">
        <f aca="false">IF(OR(E487="",F487=""),"",IF(AND(E487&gt;=F487,OR(P487="",E487&lt;=P487)),"Yes","No"))</f>
        <v/>
      </c>
      <c r="Y487" s="20" t="str">
        <f aca="false">IF(A487="","",N(G487)-N(L487)-N(N487))</f>
        <v/>
      </c>
      <c r="Z487" s="21" t="str">
        <f aca="false">IF(OR(G487="",H487="",I487=""),"",ABS(H487-I487)*G487)</f>
        <v/>
      </c>
      <c r="AA487" s="22" t="str">
        <f aca="false">IF(OR(J487="",N(Z487)=0),"",ABS(J487-H487)/ABS(H487-I487))</f>
        <v/>
      </c>
      <c r="AB487" s="23" t="str">
        <f aca="false">IF(U487&lt;&gt;"Closed","",(N(L487)*N(M487)+N(N487)*N(O487)+Y487*Q487)/G487)</f>
        <v/>
      </c>
      <c r="AC487" s="24" t="str">
        <f aca="false">IF(U487&lt;&gt;"Closed","",IF($B487="Short",-1,1)*((N(M487)-H487)*N(L487)+(N(O487)-H487)*N(N487)+(Q487-H487)*Y487)-N(R487))</f>
        <v/>
      </c>
      <c r="AD487" s="25" t="str">
        <f aca="false">IF(OR(AC487="",N(Z487)=0),"",AC487/Z487)</f>
        <v/>
      </c>
      <c r="AE487" s="25" t="str">
        <f aca="false">IF(OR(S487="",N(Z487)=0),"",IF($B487="Short",-1,1)*(S487-H487)*G487/Z487)</f>
        <v/>
      </c>
      <c r="AF487" s="25" t="str">
        <f aca="false">IF(OR(T487="",N(Z487)=0),"",IF($B487="Short",-1,1)*(T487-H487)*G487/Z487)</f>
        <v/>
      </c>
      <c r="AG487" s="21" t="str">
        <f aca="false">IF(U487&lt;&gt;"Open","",Y487*MAX(0,IF($B487="Short",-1,1)*(H487-IF(K487="",I487,K487))))</f>
        <v/>
      </c>
      <c r="AH487" s="26" t="str">
        <f aca="false">IF(U487&lt;&gt;"Closed","",DATE(YEAR(P487),MONTH(P487),1))</f>
        <v/>
      </c>
      <c r="AI487" s="19" t="str">
        <f aca="false">IF(U487&lt;&gt;"Closed","",COUNTIFS($U$7:$U$506,"Closed",$P$7:$P$506,"&lt;"&amp;P487)+COUNTIFS($U$7:U487,"Closed",$P$7:P487,P487))</f>
        <v/>
      </c>
    </row>
    <row r="488" customFormat="false" ht="15" hidden="false" customHeight="false" outlineLevel="0" collapsed="false">
      <c r="A488" s="13"/>
      <c r="B488" s="48"/>
      <c r="C488" s="48"/>
      <c r="D488" s="48"/>
      <c r="E488" s="15"/>
      <c r="F488" s="15"/>
      <c r="G488" s="16"/>
      <c r="H488" s="17"/>
      <c r="I488" s="17"/>
      <c r="J488" s="17"/>
      <c r="K488" s="17"/>
      <c r="L488" s="16"/>
      <c r="M488" s="17"/>
      <c r="N488" s="16"/>
      <c r="O488" s="17"/>
      <c r="P488" s="15"/>
      <c r="Q488" s="17"/>
      <c r="R488" s="17"/>
      <c r="S488" s="17"/>
      <c r="T488" s="17"/>
      <c r="U488" s="18" t="str">
        <f aca="false">IF(A488="","",IF(N(G488)-N(L488)-N(N488)&lt;0,"Check shares",IF(AND(P488&lt;&gt;"",Q488&lt;&gt;""),"Closed","Open")))</f>
        <v/>
      </c>
      <c r="V488" s="19" t="str">
        <f aca="false">IF(OR(F488="",P488=""),"",NETWORKDAYS(F488,P488,Lists!$F$5:$F$40)-1)</f>
        <v/>
      </c>
      <c r="W488" s="18" t="str">
        <f aca="false">IF(V488="","",IF(V488=0,"Same day","Overnight"))</f>
        <v/>
      </c>
      <c r="X488" s="18" t="str">
        <f aca="false">IF(OR(E488="",F488=""),"",IF(AND(E488&gt;=F488,OR(P488="",E488&lt;=P488)),"Yes","No"))</f>
        <v/>
      </c>
      <c r="Y488" s="20" t="str">
        <f aca="false">IF(A488="","",N(G488)-N(L488)-N(N488))</f>
        <v/>
      </c>
      <c r="Z488" s="21" t="str">
        <f aca="false">IF(OR(G488="",H488="",I488=""),"",ABS(H488-I488)*G488)</f>
        <v/>
      </c>
      <c r="AA488" s="22" t="str">
        <f aca="false">IF(OR(J488="",N(Z488)=0),"",ABS(J488-H488)/ABS(H488-I488))</f>
        <v/>
      </c>
      <c r="AB488" s="23" t="str">
        <f aca="false">IF(U488&lt;&gt;"Closed","",(N(L488)*N(M488)+N(N488)*N(O488)+Y488*Q488)/G488)</f>
        <v/>
      </c>
      <c r="AC488" s="24" t="str">
        <f aca="false">IF(U488&lt;&gt;"Closed","",IF($B488="Short",-1,1)*((N(M488)-H488)*N(L488)+(N(O488)-H488)*N(N488)+(Q488-H488)*Y488)-N(R488))</f>
        <v/>
      </c>
      <c r="AD488" s="25" t="str">
        <f aca="false">IF(OR(AC488="",N(Z488)=0),"",AC488/Z488)</f>
        <v/>
      </c>
      <c r="AE488" s="25" t="str">
        <f aca="false">IF(OR(S488="",N(Z488)=0),"",IF($B488="Short",-1,1)*(S488-H488)*G488/Z488)</f>
        <v/>
      </c>
      <c r="AF488" s="25" t="str">
        <f aca="false">IF(OR(T488="",N(Z488)=0),"",IF($B488="Short",-1,1)*(T488-H488)*G488/Z488)</f>
        <v/>
      </c>
      <c r="AG488" s="21" t="str">
        <f aca="false">IF(U488&lt;&gt;"Open","",Y488*MAX(0,IF($B488="Short",-1,1)*(H488-IF(K488="",I488,K488))))</f>
        <v/>
      </c>
      <c r="AH488" s="26" t="str">
        <f aca="false">IF(U488&lt;&gt;"Closed","",DATE(YEAR(P488),MONTH(P488),1))</f>
        <v/>
      </c>
      <c r="AI488" s="19" t="str">
        <f aca="false">IF(U488&lt;&gt;"Closed","",COUNTIFS($U$7:$U$506,"Closed",$P$7:$P$506,"&lt;"&amp;P488)+COUNTIFS($U$7:U488,"Closed",$P$7:P488,P488))</f>
        <v/>
      </c>
    </row>
    <row r="489" customFormat="false" ht="15" hidden="false" customHeight="false" outlineLevel="0" collapsed="false">
      <c r="A489" s="13"/>
      <c r="B489" s="48"/>
      <c r="C489" s="48"/>
      <c r="D489" s="48"/>
      <c r="E489" s="15"/>
      <c r="F489" s="15"/>
      <c r="G489" s="16"/>
      <c r="H489" s="17"/>
      <c r="I489" s="17"/>
      <c r="J489" s="17"/>
      <c r="K489" s="17"/>
      <c r="L489" s="16"/>
      <c r="M489" s="17"/>
      <c r="N489" s="16"/>
      <c r="O489" s="17"/>
      <c r="P489" s="15"/>
      <c r="Q489" s="17"/>
      <c r="R489" s="17"/>
      <c r="S489" s="17"/>
      <c r="T489" s="17"/>
      <c r="U489" s="18" t="str">
        <f aca="false">IF(A489="","",IF(N(G489)-N(L489)-N(N489)&lt;0,"Check shares",IF(AND(P489&lt;&gt;"",Q489&lt;&gt;""),"Closed","Open")))</f>
        <v/>
      </c>
      <c r="V489" s="19" t="str">
        <f aca="false">IF(OR(F489="",P489=""),"",NETWORKDAYS(F489,P489,Lists!$F$5:$F$40)-1)</f>
        <v/>
      </c>
      <c r="W489" s="18" t="str">
        <f aca="false">IF(V489="","",IF(V489=0,"Same day","Overnight"))</f>
        <v/>
      </c>
      <c r="X489" s="18" t="str">
        <f aca="false">IF(OR(E489="",F489=""),"",IF(AND(E489&gt;=F489,OR(P489="",E489&lt;=P489)),"Yes","No"))</f>
        <v/>
      </c>
      <c r="Y489" s="20" t="str">
        <f aca="false">IF(A489="","",N(G489)-N(L489)-N(N489))</f>
        <v/>
      </c>
      <c r="Z489" s="21" t="str">
        <f aca="false">IF(OR(G489="",H489="",I489=""),"",ABS(H489-I489)*G489)</f>
        <v/>
      </c>
      <c r="AA489" s="22" t="str">
        <f aca="false">IF(OR(J489="",N(Z489)=0),"",ABS(J489-H489)/ABS(H489-I489))</f>
        <v/>
      </c>
      <c r="AB489" s="23" t="str">
        <f aca="false">IF(U489&lt;&gt;"Closed","",(N(L489)*N(M489)+N(N489)*N(O489)+Y489*Q489)/G489)</f>
        <v/>
      </c>
      <c r="AC489" s="24" t="str">
        <f aca="false">IF(U489&lt;&gt;"Closed","",IF($B489="Short",-1,1)*((N(M489)-H489)*N(L489)+(N(O489)-H489)*N(N489)+(Q489-H489)*Y489)-N(R489))</f>
        <v/>
      </c>
      <c r="AD489" s="25" t="str">
        <f aca="false">IF(OR(AC489="",N(Z489)=0),"",AC489/Z489)</f>
        <v/>
      </c>
      <c r="AE489" s="25" t="str">
        <f aca="false">IF(OR(S489="",N(Z489)=0),"",IF($B489="Short",-1,1)*(S489-H489)*G489/Z489)</f>
        <v/>
      </c>
      <c r="AF489" s="25" t="str">
        <f aca="false">IF(OR(T489="",N(Z489)=0),"",IF($B489="Short",-1,1)*(T489-H489)*G489/Z489)</f>
        <v/>
      </c>
      <c r="AG489" s="21" t="str">
        <f aca="false">IF(U489&lt;&gt;"Open","",Y489*MAX(0,IF($B489="Short",-1,1)*(H489-IF(K489="",I489,K489))))</f>
        <v/>
      </c>
      <c r="AH489" s="26" t="str">
        <f aca="false">IF(U489&lt;&gt;"Closed","",DATE(YEAR(P489),MONTH(P489),1))</f>
        <v/>
      </c>
      <c r="AI489" s="19" t="str">
        <f aca="false">IF(U489&lt;&gt;"Closed","",COUNTIFS($U$7:$U$506,"Closed",$P$7:$P$506,"&lt;"&amp;P489)+COUNTIFS($U$7:U489,"Closed",$P$7:P489,P489))</f>
        <v/>
      </c>
    </row>
    <row r="490" customFormat="false" ht="15" hidden="false" customHeight="false" outlineLevel="0" collapsed="false">
      <c r="A490" s="13"/>
      <c r="B490" s="48"/>
      <c r="C490" s="48"/>
      <c r="D490" s="48"/>
      <c r="E490" s="15"/>
      <c r="F490" s="15"/>
      <c r="G490" s="16"/>
      <c r="H490" s="17"/>
      <c r="I490" s="17"/>
      <c r="J490" s="17"/>
      <c r="K490" s="17"/>
      <c r="L490" s="16"/>
      <c r="M490" s="17"/>
      <c r="N490" s="16"/>
      <c r="O490" s="17"/>
      <c r="P490" s="15"/>
      <c r="Q490" s="17"/>
      <c r="R490" s="17"/>
      <c r="S490" s="17"/>
      <c r="T490" s="17"/>
      <c r="U490" s="18" t="str">
        <f aca="false">IF(A490="","",IF(N(G490)-N(L490)-N(N490)&lt;0,"Check shares",IF(AND(P490&lt;&gt;"",Q490&lt;&gt;""),"Closed","Open")))</f>
        <v/>
      </c>
      <c r="V490" s="19" t="str">
        <f aca="false">IF(OR(F490="",P490=""),"",NETWORKDAYS(F490,P490,Lists!$F$5:$F$40)-1)</f>
        <v/>
      </c>
      <c r="W490" s="18" t="str">
        <f aca="false">IF(V490="","",IF(V490=0,"Same day","Overnight"))</f>
        <v/>
      </c>
      <c r="X490" s="18" t="str">
        <f aca="false">IF(OR(E490="",F490=""),"",IF(AND(E490&gt;=F490,OR(P490="",E490&lt;=P490)),"Yes","No"))</f>
        <v/>
      </c>
      <c r="Y490" s="20" t="str">
        <f aca="false">IF(A490="","",N(G490)-N(L490)-N(N490))</f>
        <v/>
      </c>
      <c r="Z490" s="21" t="str">
        <f aca="false">IF(OR(G490="",H490="",I490=""),"",ABS(H490-I490)*G490)</f>
        <v/>
      </c>
      <c r="AA490" s="22" t="str">
        <f aca="false">IF(OR(J490="",N(Z490)=0),"",ABS(J490-H490)/ABS(H490-I490))</f>
        <v/>
      </c>
      <c r="AB490" s="23" t="str">
        <f aca="false">IF(U490&lt;&gt;"Closed","",(N(L490)*N(M490)+N(N490)*N(O490)+Y490*Q490)/G490)</f>
        <v/>
      </c>
      <c r="AC490" s="24" t="str">
        <f aca="false">IF(U490&lt;&gt;"Closed","",IF($B490="Short",-1,1)*((N(M490)-H490)*N(L490)+(N(O490)-H490)*N(N490)+(Q490-H490)*Y490)-N(R490))</f>
        <v/>
      </c>
      <c r="AD490" s="25" t="str">
        <f aca="false">IF(OR(AC490="",N(Z490)=0),"",AC490/Z490)</f>
        <v/>
      </c>
      <c r="AE490" s="25" t="str">
        <f aca="false">IF(OR(S490="",N(Z490)=0),"",IF($B490="Short",-1,1)*(S490-H490)*G490/Z490)</f>
        <v/>
      </c>
      <c r="AF490" s="25" t="str">
        <f aca="false">IF(OR(T490="",N(Z490)=0),"",IF($B490="Short",-1,1)*(T490-H490)*G490/Z490)</f>
        <v/>
      </c>
      <c r="AG490" s="21" t="str">
        <f aca="false">IF(U490&lt;&gt;"Open","",Y490*MAX(0,IF($B490="Short",-1,1)*(H490-IF(K490="",I490,K490))))</f>
        <v/>
      </c>
      <c r="AH490" s="26" t="str">
        <f aca="false">IF(U490&lt;&gt;"Closed","",DATE(YEAR(P490),MONTH(P490),1))</f>
        <v/>
      </c>
      <c r="AI490" s="19" t="str">
        <f aca="false">IF(U490&lt;&gt;"Closed","",COUNTIFS($U$7:$U$506,"Closed",$P$7:$P$506,"&lt;"&amp;P490)+COUNTIFS($U$7:U490,"Closed",$P$7:P490,P490))</f>
        <v/>
      </c>
    </row>
    <row r="491" customFormat="false" ht="15" hidden="false" customHeight="false" outlineLevel="0" collapsed="false">
      <c r="A491" s="13"/>
      <c r="B491" s="48"/>
      <c r="C491" s="48"/>
      <c r="D491" s="48"/>
      <c r="E491" s="15"/>
      <c r="F491" s="15"/>
      <c r="G491" s="16"/>
      <c r="H491" s="17"/>
      <c r="I491" s="17"/>
      <c r="J491" s="17"/>
      <c r="K491" s="17"/>
      <c r="L491" s="16"/>
      <c r="M491" s="17"/>
      <c r="N491" s="16"/>
      <c r="O491" s="17"/>
      <c r="P491" s="15"/>
      <c r="Q491" s="17"/>
      <c r="R491" s="17"/>
      <c r="S491" s="17"/>
      <c r="T491" s="17"/>
      <c r="U491" s="18" t="str">
        <f aca="false">IF(A491="","",IF(N(G491)-N(L491)-N(N491)&lt;0,"Check shares",IF(AND(P491&lt;&gt;"",Q491&lt;&gt;""),"Closed","Open")))</f>
        <v/>
      </c>
      <c r="V491" s="19" t="str">
        <f aca="false">IF(OR(F491="",P491=""),"",NETWORKDAYS(F491,P491,Lists!$F$5:$F$40)-1)</f>
        <v/>
      </c>
      <c r="W491" s="18" t="str">
        <f aca="false">IF(V491="","",IF(V491=0,"Same day","Overnight"))</f>
        <v/>
      </c>
      <c r="X491" s="18" t="str">
        <f aca="false">IF(OR(E491="",F491=""),"",IF(AND(E491&gt;=F491,OR(P491="",E491&lt;=P491)),"Yes","No"))</f>
        <v/>
      </c>
      <c r="Y491" s="20" t="str">
        <f aca="false">IF(A491="","",N(G491)-N(L491)-N(N491))</f>
        <v/>
      </c>
      <c r="Z491" s="21" t="str">
        <f aca="false">IF(OR(G491="",H491="",I491=""),"",ABS(H491-I491)*G491)</f>
        <v/>
      </c>
      <c r="AA491" s="22" t="str">
        <f aca="false">IF(OR(J491="",N(Z491)=0),"",ABS(J491-H491)/ABS(H491-I491))</f>
        <v/>
      </c>
      <c r="AB491" s="23" t="str">
        <f aca="false">IF(U491&lt;&gt;"Closed","",(N(L491)*N(M491)+N(N491)*N(O491)+Y491*Q491)/G491)</f>
        <v/>
      </c>
      <c r="AC491" s="24" t="str">
        <f aca="false">IF(U491&lt;&gt;"Closed","",IF($B491="Short",-1,1)*((N(M491)-H491)*N(L491)+(N(O491)-H491)*N(N491)+(Q491-H491)*Y491)-N(R491))</f>
        <v/>
      </c>
      <c r="AD491" s="25" t="str">
        <f aca="false">IF(OR(AC491="",N(Z491)=0),"",AC491/Z491)</f>
        <v/>
      </c>
      <c r="AE491" s="25" t="str">
        <f aca="false">IF(OR(S491="",N(Z491)=0),"",IF($B491="Short",-1,1)*(S491-H491)*G491/Z491)</f>
        <v/>
      </c>
      <c r="AF491" s="25" t="str">
        <f aca="false">IF(OR(T491="",N(Z491)=0),"",IF($B491="Short",-1,1)*(T491-H491)*G491/Z491)</f>
        <v/>
      </c>
      <c r="AG491" s="21" t="str">
        <f aca="false">IF(U491&lt;&gt;"Open","",Y491*MAX(0,IF($B491="Short",-1,1)*(H491-IF(K491="",I491,K491))))</f>
        <v/>
      </c>
      <c r="AH491" s="26" t="str">
        <f aca="false">IF(U491&lt;&gt;"Closed","",DATE(YEAR(P491),MONTH(P491),1))</f>
        <v/>
      </c>
      <c r="AI491" s="19" t="str">
        <f aca="false">IF(U491&lt;&gt;"Closed","",COUNTIFS($U$7:$U$506,"Closed",$P$7:$P$506,"&lt;"&amp;P491)+COUNTIFS($U$7:U491,"Closed",$P$7:P491,P491))</f>
        <v/>
      </c>
    </row>
    <row r="492" customFormat="false" ht="15" hidden="false" customHeight="false" outlineLevel="0" collapsed="false">
      <c r="A492" s="13"/>
      <c r="B492" s="48"/>
      <c r="C492" s="48"/>
      <c r="D492" s="48"/>
      <c r="E492" s="15"/>
      <c r="F492" s="15"/>
      <c r="G492" s="16"/>
      <c r="H492" s="17"/>
      <c r="I492" s="17"/>
      <c r="J492" s="17"/>
      <c r="K492" s="17"/>
      <c r="L492" s="16"/>
      <c r="M492" s="17"/>
      <c r="N492" s="16"/>
      <c r="O492" s="17"/>
      <c r="P492" s="15"/>
      <c r="Q492" s="17"/>
      <c r="R492" s="17"/>
      <c r="S492" s="17"/>
      <c r="T492" s="17"/>
      <c r="U492" s="18" t="str">
        <f aca="false">IF(A492="","",IF(N(G492)-N(L492)-N(N492)&lt;0,"Check shares",IF(AND(P492&lt;&gt;"",Q492&lt;&gt;""),"Closed","Open")))</f>
        <v/>
      </c>
      <c r="V492" s="19" t="str">
        <f aca="false">IF(OR(F492="",P492=""),"",NETWORKDAYS(F492,P492,Lists!$F$5:$F$40)-1)</f>
        <v/>
      </c>
      <c r="W492" s="18" t="str">
        <f aca="false">IF(V492="","",IF(V492=0,"Same day","Overnight"))</f>
        <v/>
      </c>
      <c r="X492" s="18" t="str">
        <f aca="false">IF(OR(E492="",F492=""),"",IF(AND(E492&gt;=F492,OR(P492="",E492&lt;=P492)),"Yes","No"))</f>
        <v/>
      </c>
      <c r="Y492" s="20" t="str">
        <f aca="false">IF(A492="","",N(G492)-N(L492)-N(N492))</f>
        <v/>
      </c>
      <c r="Z492" s="21" t="str">
        <f aca="false">IF(OR(G492="",H492="",I492=""),"",ABS(H492-I492)*G492)</f>
        <v/>
      </c>
      <c r="AA492" s="22" t="str">
        <f aca="false">IF(OR(J492="",N(Z492)=0),"",ABS(J492-H492)/ABS(H492-I492))</f>
        <v/>
      </c>
      <c r="AB492" s="23" t="str">
        <f aca="false">IF(U492&lt;&gt;"Closed","",(N(L492)*N(M492)+N(N492)*N(O492)+Y492*Q492)/G492)</f>
        <v/>
      </c>
      <c r="AC492" s="24" t="str">
        <f aca="false">IF(U492&lt;&gt;"Closed","",IF($B492="Short",-1,1)*((N(M492)-H492)*N(L492)+(N(O492)-H492)*N(N492)+(Q492-H492)*Y492)-N(R492))</f>
        <v/>
      </c>
      <c r="AD492" s="25" t="str">
        <f aca="false">IF(OR(AC492="",N(Z492)=0),"",AC492/Z492)</f>
        <v/>
      </c>
      <c r="AE492" s="25" t="str">
        <f aca="false">IF(OR(S492="",N(Z492)=0),"",IF($B492="Short",-1,1)*(S492-H492)*G492/Z492)</f>
        <v/>
      </c>
      <c r="AF492" s="25" t="str">
        <f aca="false">IF(OR(T492="",N(Z492)=0),"",IF($B492="Short",-1,1)*(T492-H492)*G492/Z492)</f>
        <v/>
      </c>
      <c r="AG492" s="21" t="str">
        <f aca="false">IF(U492&lt;&gt;"Open","",Y492*MAX(0,IF($B492="Short",-1,1)*(H492-IF(K492="",I492,K492))))</f>
        <v/>
      </c>
      <c r="AH492" s="26" t="str">
        <f aca="false">IF(U492&lt;&gt;"Closed","",DATE(YEAR(P492),MONTH(P492),1))</f>
        <v/>
      </c>
      <c r="AI492" s="19" t="str">
        <f aca="false">IF(U492&lt;&gt;"Closed","",COUNTIFS($U$7:$U$506,"Closed",$P$7:$P$506,"&lt;"&amp;P492)+COUNTIFS($U$7:U492,"Closed",$P$7:P492,P492))</f>
        <v/>
      </c>
    </row>
    <row r="493" customFormat="false" ht="15" hidden="false" customHeight="false" outlineLevel="0" collapsed="false">
      <c r="A493" s="13"/>
      <c r="B493" s="48"/>
      <c r="C493" s="48"/>
      <c r="D493" s="48"/>
      <c r="E493" s="15"/>
      <c r="F493" s="15"/>
      <c r="G493" s="16"/>
      <c r="H493" s="17"/>
      <c r="I493" s="17"/>
      <c r="J493" s="17"/>
      <c r="K493" s="17"/>
      <c r="L493" s="16"/>
      <c r="M493" s="17"/>
      <c r="N493" s="16"/>
      <c r="O493" s="17"/>
      <c r="P493" s="15"/>
      <c r="Q493" s="17"/>
      <c r="R493" s="17"/>
      <c r="S493" s="17"/>
      <c r="T493" s="17"/>
      <c r="U493" s="18" t="str">
        <f aca="false">IF(A493="","",IF(N(G493)-N(L493)-N(N493)&lt;0,"Check shares",IF(AND(P493&lt;&gt;"",Q493&lt;&gt;""),"Closed","Open")))</f>
        <v/>
      </c>
      <c r="V493" s="19" t="str">
        <f aca="false">IF(OR(F493="",P493=""),"",NETWORKDAYS(F493,P493,Lists!$F$5:$F$40)-1)</f>
        <v/>
      </c>
      <c r="W493" s="18" t="str">
        <f aca="false">IF(V493="","",IF(V493=0,"Same day","Overnight"))</f>
        <v/>
      </c>
      <c r="X493" s="18" t="str">
        <f aca="false">IF(OR(E493="",F493=""),"",IF(AND(E493&gt;=F493,OR(P493="",E493&lt;=P493)),"Yes","No"))</f>
        <v/>
      </c>
      <c r="Y493" s="20" t="str">
        <f aca="false">IF(A493="","",N(G493)-N(L493)-N(N493))</f>
        <v/>
      </c>
      <c r="Z493" s="21" t="str">
        <f aca="false">IF(OR(G493="",H493="",I493=""),"",ABS(H493-I493)*G493)</f>
        <v/>
      </c>
      <c r="AA493" s="22" t="str">
        <f aca="false">IF(OR(J493="",N(Z493)=0),"",ABS(J493-H493)/ABS(H493-I493))</f>
        <v/>
      </c>
      <c r="AB493" s="23" t="str">
        <f aca="false">IF(U493&lt;&gt;"Closed","",(N(L493)*N(M493)+N(N493)*N(O493)+Y493*Q493)/G493)</f>
        <v/>
      </c>
      <c r="AC493" s="24" t="str">
        <f aca="false">IF(U493&lt;&gt;"Closed","",IF($B493="Short",-1,1)*((N(M493)-H493)*N(L493)+(N(O493)-H493)*N(N493)+(Q493-H493)*Y493)-N(R493))</f>
        <v/>
      </c>
      <c r="AD493" s="25" t="str">
        <f aca="false">IF(OR(AC493="",N(Z493)=0),"",AC493/Z493)</f>
        <v/>
      </c>
      <c r="AE493" s="25" t="str">
        <f aca="false">IF(OR(S493="",N(Z493)=0),"",IF($B493="Short",-1,1)*(S493-H493)*G493/Z493)</f>
        <v/>
      </c>
      <c r="AF493" s="25" t="str">
        <f aca="false">IF(OR(T493="",N(Z493)=0),"",IF($B493="Short",-1,1)*(T493-H493)*G493/Z493)</f>
        <v/>
      </c>
      <c r="AG493" s="21" t="str">
        <f aca="false">IF(U493&lt;&gt;"Open","",Y493*MAX(0,IF($B493="Short",-1,1)*(H493-IF(K493="",I493,K493))))</f>
        <v/>
      </c>
      <c r="AH493" s="26" t="str">
        <f aca="false">IF(U493&lt;&gt;"Closed","",DATE(YEAR(P493),MONTH(P493),1))</f>
        <v/>
      </c>
      <c r="AI493" s="19" t="str">
        <f aca="false">IF(U493&lt;&gt;"Closed","",COUNTIFS($U$7:$U$506,"Closed",$P$7:$P$506,"&lt;"&amp;P493)+COUNTIFS($U$7:U493,"Closed",$P$7:P493,P493))</f>
        <v/>
      </c>
    </row>
    <row r="494" customFormat="false" ht="15" hidden="false" customHeight="false" outlineLevel="0" collapsed="false">
      <c r="A494" s="13"/>
      <c r="B494" s="48"/>
      <c r="C494" s="48"/>
      <c r="D494" s="48"/>
      <c r="E494" s="15"/>
      <c r="F494" s="15"/>
      <c r="G494" s="16"/>
      <c r="H494" s="17"/>
      <c r="I494" s="17"/>
      <c r="J494" s="17"/>
      <c r="K494" s="17"/>
      <c r="L494" s="16"/>
      <c r="M494" s="17"/>
      <c r="N494" s="16"/>
      <c r="O494" s="17"/>
      <c r="P494" s="15"/>
      <c r="Q494" s="17"/>
      <c r="R494" s="17"/>
      <c r="S494" s="17"/>
      <c r="T494" s="17"/>
      <c r="U494" s="18" t="str">
        <f aca="false">IF(A494="","",IF(N(G494)-N(L494)-N(N494)&lt;0,"Check shares",IF(AND(P494&lt;&gt;"",Q494&lt;&gt;""),"Closed","Open")))</f>
        <v/>
      </c>
      <c r="V494" s="19" t="str">
        <f aca="false">IF(OR(F494="",P494=""),"",NETWORKDAYS(F494,P494,Lists!$F$5:$F$40)-1)</f>
        <v/>
      </c>
      <c r="W494" s="18" t="str">
        <f aca="false">IF(V494="","",IF(V494=0,"Same day","Overnight"))</f>
        <v/>
      </c>
      <c r="X494" s="18" t="str">
        <f aca="false">IF(OR(E494="",F494=""),"",IF(AND(E494&gt;=F494,OR(P494="",E494&lt;=P494)),"Yes","No"))</f>
        <v/>
      </c>
      <c r="Y494" s="20" t="str">
        <f aca="false">IF(A494="","",N(G494)-N(L494)-N(N494))</f>
        <v/>
      </c>
      <c r="Z494" s="21" t="str">
        <f aca="false">IF(OR(G494="",H494="",I494=""),"",ABS(H494-I494)*G494)</f>
        <v/>
      </c>
      <c r="AA494" s="22" t="str">
        <f aca="false">IF(OR(J494="",N(Z494)=0),"",ABS(J494-H494)/ABS(H494-I494))</f>
        <v/>
      </c>
      <c r="AB494" s="23" t="str">
        <f aca="false">IF(U494&lt;&gt;"Closed","",(N(L494)*N(M494)+N(N494)*N(O494)+Y494*Q494)/G494)</f>
        <v/>
      </c>
      <c r="AC494" s="24" t="str">
        <f aca="false">IF(U494&lt;&gt;"Closed","",IF($B494="Short",-1,1)*((N(M494)-H494)*N(L494)+(N(O494)-H494)*N(N494)+(Q494-H494)*Y494)-N(R494))</f>
        <v/>
      </c>
      <c r="AD494" s="25" t="str">
        <f aca="false">IF(OR(AC494="",N(Z494)=0),"",AC494/Z494)</f>
        <v/>
      </c>
      <c r="AE494" s="25" t="str">
        <f aca="false">IF(OR(S494="",N(Z494)=0),"",IF($B494="Short",-1,1)*(S494-H494)*G494/Z494)</f>
        <v/>
      </c>
      <c r="AF494" s="25" t="str">
        <f aca="false">IF(OR(T494="",N(Z494)=0),"",IF($B494="Short",-1,1)*(T494-H494)*G494/Z494)</f>
        <v/>
      </c>
      <c r="AG494" s="21" t="str">
        <f aca="false">IF(U494&lt;&gt;"Open","",Y494*MAX(0,IF($B494="Short",-1,1)*(H494-IF(K494="",I494,K494))))</f>
        <v/>
      </c>
      <c r="AH494" s="26" t="str">
        <f aca="false">IF(U494&lt;&gt;"Closed","",DATE(YEAR(P494),MONTH(P494),1))</f>
        <v/>
      </c>
      <c r="AI494" s="19" t="str">
        <f aca="false">IF(U494&lt;&gt;"Closed","",COUNTIFS($U$7:$U$506,"Closed",$P$7:$P$506,"&lt;"&amp;P494)+COUNTIFS($U$7:U494,"Closed",$P$7:P494,P494))</f>
        <v/>
      </c>
    </row>
    <row r="495" customFormat="false" ht="15" hidden="false" customHeight="false" outlineLevel="0" collapsed="false">
      <c r="A495" s="13"/>
      <c r="B495" s="48"/>
      <c r="C495" s="48"/>
      <c r="D495" s="48"/>
      <c r="E495" s="15"/>
      <c r="F495" s="15"/>
      <c r="G495" s="16"/>
      <c r="H495" s="17"/>
      <c r="I495" s="17"/>
      <c r="J495" s="17"/>
      <c r="K495" s="17"/>
      <c r="L495" s="16"/>
      <c r="M495" s="17"/>
      <c r="N495" s="16"/>
      <c r="O495" s="17"/>
      <c r="P495" s="15"/>
      <c r="Q495" s="17"/>
      <c r="R495" s="17"/>
      <c r="S495" s="17"/>
      <c r="T495" s="17"/>
      <c r="U495" s="18" t="str">
        <f aca="false">IF(A495="","",IF(N(G495)-N(L495)-N(N495)&lt;0,"Check shares",IF(AND(P495&lt;&gt;"",Q495&lt;&gt;""),"Closed","Open")))</f>
        <v/>
      </c>
      <c r="V495" s="19" t="str">
        <f aca="false">IF(OR(F495="",P495=""),"",NETWORKDAYS(F495,P495,Lists!$F$5:$F$40)-1)</f>
        <v/>
      </c>
      <c r="W495" s="18" t="str">
        <f aca="false">IF(V495="","",IF(V495=0,"Same day","Overnight"))</f>
        <v/>
      </c>
      <c r="X495" s="18" t="str">
        <f aca="false">IF(OR(E495="",F495=""),"",IF(AND(E495&gt;=F495,OR(P495="",E495&lt;=P495)),"Yes","No"))</f>
        <v/>
      </c>
      <c r="Y495" s="20" t="str">
        <f aca="false">IF(A495="","",N(G495)-N(L495)-N(N495))</f>
        <v/>
      </c>
      <c r="Z495" s="21" t="str">
        <f aca="false">IF(OR(G495="",H495="",I495=""),"",ABS(H495-I495)*G495)</f>
        <v/>
      </c>
      <c r="AA495" s="22" t="str">
        <f aca="false">IF(OR(J495="",N(Z495)=0),"",ABS(J495-H495)/ABS(H495-I495))</f>
        <v/>
      </c>
      <c r="AB495" s="23" t="str">
        <f aca="false">IF(U495&lt;&gt;"Closed","",(N(L495)*N(M495)+N(N495)*N(O495)+Y495*Q495)/G495)</f>
        <v/>
      </c>
      <c r="AC495" s="24" t="str">
        <f aca="false">IF(U495&lt;&gt;"Closed","",IF($B495="Short",-1,1)*((N(M495)-H495)*N(L495)+(N(O495)-H495)*N(N495)+(Q495-H495)*Y495)-N(R495))</f>
        <v/>
      </c>
      <c r="AD495" s="25" t="str">
        <f aca="false">IF(OR(AC495="",N(Z495)=0),"",AC495/Z495)</f>
        <v/>
      </c>
      <c r="AE495" s="25" t="str">
        <f aca="false">IF(OR(S495="",N(Z495)=0),"",IF($B495="Short",-1,1)*(S495-H495)*G495/Z495)</f>
        <v/>
      </c>
      <c r="AF495" s="25" t="str">
        <f aca="false">IF(OR(T495="",N(Z495)=0),"",IF($B495="Short",-1,1)*(T495-H495)*G495/Z495)</f>
        <v/>
      </c>
      <c r="AG495" s="21" t="str">
        <f aca="false">IF(U495&lt;&gt;"Open","",Y495*MAX(0,IF($B495="Short",-1,1)*(H495-IF(K495="",I495,K495))))</f>
        <v/>
      </c>
      <c r="AH495" s="26" t="str">
        <f aca="false">IF(U495&lt;&gt;"Closed","",DATE(YEAR(P495),MONTH(P495),1))</f>
        <v/>
      </c>
      <c r="AI495" s="19" t="str">
        <f aca="false">IF(U495&lt;&gt;"Closed","",COUNTIFS($U$7:$U$506,"Closed",$P$7:$P$506,"&lt;"&amp;P495)+COUNTIFS($U$7:U495,"Closed",$P$7:P495,P495))</f>
        <v/>
      </c>
    </row>
    <row r="496" customFormat="false" ht="15" hidden="false" customHeight="false" outlineLevel="0" collapsed="false">
      <c r="A496" s="13"/>
      <c r="B496" s="48"/>
      <c r="C496" s="48"/>
      <c r="D496" s="48"/>
      <c r="E496" s="15"/>
      <c r="F496" s="15"/>
      <c r="G496" s="16"/>
      <c r="H496" s="17"/>
      <c r="I496" s="17"/>
      <c r="J496" s="17"/>
      <c r="K496" s="17"/>
      <c r="L496" s="16"/>
      <c r="M496" s="17"/>
      <c r="N496" s="16"/>
      <c r="O496" s="17"/>
      <c r="P496" s="15"/>
      <c r="Q496" s="17"/>
      <c r="R496" s="17"/>
      <c r="S496" s="17"/>
      <c r="T496" s="17"/>
      <c r="U496" s="18" t="str">
        <f aca="false">IF(A496="","",IF(N(G496)-N(L496)-N(N496)&lt;0,"Check shares",IF(AND(P496&lt;&gt;"",Q496&lt;&gt;""),"Closed","Open")))</f>
        <v/>
      </c>
      <c r="V496" s="19" t="str">
        <f aca="false">IF(OR(F496="",P496=""),"",NETWORKDAYS(F496,P496,Lists!$F$5:$F$40)-1)</f>
        <v/>
      </c>
      <c r="W496" s="18" t="str">
        <f aca="false">IF(V496="","",IF(V496=0,"Same day","Overnight"))</f>
        <v/>
      </c>
      <c r="X496" s="18" t="str">
        <f aca="false">IF(OR(E496="",F496=""),"",IF(AND(E496&gt;=F496,OR(P496="",E496&lt;=P496)),"Yes","No"))</f>
        <v/>
      </c>
      <c r="Y496" s="20" t="str">
        <f aca="false">IF(A496="","",N(G496)-N(L496)-N(N496))</f>
        <v/>
      </c>
      <c r="Z496" s="21" t="str">
        <f aca="false">IF(OR(G496="",H496="",I496=""),"",ABS(H496-I496)*G496)</f>
        <v/>
      </c>
      <c r="AA496" s="22" t="str">
        <f aca="false">IF(OR(J496="",N(Z496)=0),"",ABS(J496-H496)/ABS(H496-I496))</f>
        <v/>
      </c>
      <c r="AB496" s="23" t="str">
        <f aca="false">IF(U496&lt;&gt;"Closed","",(N(L496)*N(M496)+N(N496)*N(O496)+Y496*Q496)/G496)</f>
        <v/>
      </c>
      <c r="AC496" s="24" t="str">
        <f aca="false">IF(U496&lt;&gt;"Closed","",IF($B496="Short",-1,1)*((N(M496)-H496)*N(L496)+(N(O496)-H496)*N(N496)+(Q496-H496)*Y496)-N(R496))</f>
        <v/>
      </c>
      <c r="AD496" s="25" t="str">
        <f aca="false">IF(OR(AC496="",N(Z496)=0),"",AC496/Z496)</f>
        <v/>
      </c>
      <c r="AE496" s="25" t="str">
        <f aca="false">IF(OR(S496="",N(Z496)=0),"",IF($B496="Short",-1,1)*(S496-H496)*G496/Z496)</f>
        <v/>
      </c>
      <c r="AF496" s="25" t="str">
        <f aca="false">IF(OR(T496="",N(Z496)=0),"",IF($B496="Short",-1,1)*(T496-H496)*G496/Z496)</f>
        <v/>
      </c>
      <c r="AG496" s="21" t="str">
        <f aca="false">IF(U496&lt;&gt;"Open","",Y496*MAX(0,IF($B496="Short",-1,1)*(H496-IF(K496="",I496,K496))))</f>
        <v/>
      </c>
      <c r="AH496" s="26" t="str">
        <f aca="false">IF(U496&lt;&gt;"Closed","",DATE(YEAR(P496),MONTH(P496),1))</f>
        <v/>
      </c>
      <c r="AI496" s="19" t="str">
        <f aca="false">IF(U496&lt;&gt;"Closed","",COUNTIFS($U$7:$U$506,"Closed",$P$7:$P$506,"&lt;"&amp;P496)+COUNTIFS($U$7:U496,"Closed",$P$7:P496,P496))</f>
        <v/>
      </c>
    </row>
    <row r="497" customFormat="false" ht="15" hidden="false" customHeight="false" outlineLevel="0" collapsed="false">
      <c r="A497" s="13"/>
      <c r="B497" s="48"/>
      <c r="C497" s="48"/>
      <c r="D497" s="48"/>
      <c r="E497" s="15"/>
      <c r="F497" s="15"/>
      <c r="G497" s="16"/>
      <c r="H497" s="17"/>
      <c r="I497" s="17"/>
      <c r="J497" s="17"/>
      <c r="K497" s="17"/>
      <c r="L497" s="16"/>
      <c r="M497" s="17"/>
      <c r="N497" s="16"/>
      <c r="O497" s="17"/>
      <c r="P497" s="15"/>
      <c r="Q497" s="17"/>
      <c r="R497" s="17"/>
      <c r="S497" s="17"/>
      <c r="T497" s="17"/>
      <c r="U497" s="18" t="str">
        <f aca="false">IF(A497="","",IF(N(G497)-N(L497)-N(N497)&lt;0,"Check shares",IF(AND(P497&lt;&gt;"",Q497&lt;&gt;""),"Closed","Open")))</f>
        <v/>
      </c>
      <c r="V497" s="19" t="str">
        <f aca="false">IF(OR(F497="",P497=""),"",NETWORKDAYS(F497,P497,Lists!$F$5:$F$40)-1)</f>
        <v/>
      </c>
      <c r="W497" s="18" t="str">
        <f aca="false">IF(V497="","",IF(V497=0,"Same day","Overnight"))</f>
        <v/>
      </c>
      <c r="X497" s="18" t="str">
        <f aca="false">IF(OR(E497="",F497=""),"",IF(AND(E497&gt;=F497,OR(P497="",E497&lt;=P497)),"Yes","No"))</f>
        <v/>
      </c>
      <c r="Y497" s="20" t="str">
        <f aca="false">IF(A497="","",N(G497)-N(L497)-N(N497))</f>
        <v/>
      </c>
      <c r="Z497" s="21" t="str">
        <f aca="false">IF(OR(G497="",H497="",I497=""),"",ABS(H497-I497)*G497)</f>
        <v/>
      </c>
      <c r="AA497" s="22" t="str">
        <f aca="false">IF(OR(J497="",N(Z497)=0),"",ABS(J497-H497)/ABS(H497-I497))</f>
        <v/>
      </c>
      <c r="AB497" s="23" t="str">
        <f aca="false">IF(U497&lt;&gt;"Closed","",(N(L497)*N(M497)+N(N497)*N(O497)+Y497*Q497)/G497)</f>
        <v/>
      </c>
      <c r="AC497" s="24" t="str">
        <f aca="false">IF(U497&lt;&gt;"Closed","",IF($B497="Short",-1,1)*((N(M497)-H497)*N(L497)+(N(O497)-H497)*N(N497)+(Q497-H497)*Y497)-N(R497))</f>
        <v/>
      </c>
      <c r="AD497" s="25" t="str">
        <f aca="false">IF(OR(AC497="",N(Z497)=0),"",AC497/Z497)</f>
        <v/>
      </c>
      <c r="AE497" s="25" t="str">
        <f aca="false">IF(OR(S497="",N(Z497)=0),"",IF($B497="Short",-1,1)*(S497-H497)*G497/Z497)</f>
        <v/>
      </c>
      <c r="AF497" s="25" t="str">
        <f aca="false">IF(OR(T497="",N(Z497)=0),"",IF($B497="Short",-1,1)*(T497-H497)*G497/Z497)</f>
        <v/>
      </c>
      <c r="AG497" s="21" t="str">
        <f aca="false">IF(U497&lt;&gt;"Open","",Y497*MAX(0,IF($B497="Short",-1,1)*(H497-IF(K497="",I497,K497))))</f>
        <v/>
      </c>
      <c r="AH497" s="26" t="str">
        <f aca="false">IF(U497&lt;&gt;"Closed","",DATE(YEAR(P497),MONTH(P497),1))</f>
        <v/>
      </c>
      <c r="AI497" s="19" t="str">
        <f aca="false">IF(U497&lt;&gt;"Closed","",COUNTIFS($U$7:$U$506,"Closed",$P$7:$P$506,"&lt;"&amp;P497)+COUNTIFS($U$7:U497,"Closed",$P$7:P497,P497))</f>
        <v/>
      </c>
    </row>
    <row r="498" customFormat="false" ht="15" hidden="false" customHeight="false" outlineLevel="0" collapsed="false">
      <c r="A498" s="13"/>
      <c r="B498" s="48"/>
      <c r="C498" s="48"/>
      <c r="D498" s="48"/>
      <c r="E498" s="15"/>
      <c r="F498" s="15"/>
      <c r="G498" s="16"/>
      <c r="H498" s="17"/>
      <c r="I498" s="17"/>
      <c r="J498" s="17"/>
      <c r="K498" s="17"/>
      <c r="L498" s="16"/>
      <c r="M498" s="17"/>
      <c r="N498" s="16"/>
      <c r="O498" s="17"/>
      <c r="P498" s="15"/>
      <c r="Q498" s="17"/>
      <c r="R498" s="17"/>
      <c r="S498" s="17"/>
      <c r="T498" s="17"/>
      <c r="U498" s="18" t="str">
        <f aca="false">IF(A498="","",IF(N(G498)-N(L498)-N(N498)&lt;0,"Check shares",IF(AND(P498&lt;&gt;"",Q498&lt;&gt;""),"Closed","Open")))</f>
        <v/>
      </c>
      <c r="V498" s="19" t="str">
        <f aca="false">IF(OR(F498="",P498=""),"",NETWORKDAYS(F498,P498,Lists!$F$5:$F$40)-1)</f>
        <v/>
      </c>
      <c r="W498" s="18" t="str">
        <f aca="false">IF(V498="","",IF(V498=0,"Same day","Overnight"))</f>
        <v/>
      </c>
      <c r="X498" s="18" t="str">
        <f aca="false">IF(OR(E498="",F498=""),"",IF(AND(E498&gt;=F498,OR(P498="",E498&lt;=P498)),"Yes","No"))</f>
        <v/>
      </c>
      <c r="Y498" s="20" t="str">
        <f aca="false">IF(A498="","",N(G498)-N(L498)-N(N498))</f>
        <v/>
      </c>
      <c r="Z498" s="21" t="str">
        <f aca="false">IF(OR(G498="",H498="",I498=""),"",ABS(H498-I498)*G498)</f>
        <v/>
      </c>
      <c r="AA498" s="22" t="str">
        <f aca="false">IF(OR(J498="",N(Z498)=0),"",ABS(J498-H498)/ABS(H498-I498))</f>
        <v/>
      </c>
      <c r="AB498" s="23" t="str">
        <f aca="false">IF(U498&lt;&gt;"Closed","",(N(L498)*N(M498)+N(N498)*N(O498)+Y498*Q498)/G498)</f>
        <v/>
      </c>
      <c r="AC498" s="24" t="str">
        <f aca="false">IF(U498&lt;&gt;"Closed","",IF($B498="Short",-1,1)*((N(M498)-H498)*N(L498)+(N(O498)-H498)*N(N498)+(Q498-H498)*Y498)-N(R498))</f>
        <v/>
      </c>
      <c r="AD498" s="25" t="str">
        <f aca="false">IF(OR(AC498="",N(Z498)=0),"",AC498/Z498)</f>
        <v/>
      </c>
      <c r="AE498" s="25" t="str">
        <f aca="false">IF(OR(S498="",N(Z498)=0),"",IF($B498="Short",-1,1)*(S498-H498)*G498/Z498)</f>
        <v/>
      </c>
      <c r="AF498" s="25" t="str">
        <f aca="false">IF(OR(T498="",N(Z498)=0),"",IF($B498="Short",-1,1)*(T498-H498)*G498/Z498)</f>
        <v/>
      </c>
      <c r="AG498" s="21" t="str">
        <f aca="false">IF(U498&lt;&gt;"Open","",Y498*MAX(0,IF($B498="Short",-1,1)*(H498-IF(K498="",I498,K498))))</f>
        <v/>
      </c>
      <c r="AH498" s="26" t="str">
        <f aca="false">IF(U498&lt;&gt;"Closed","",DATE(YEAR(P498),MONTH(P498),1))</f>
        <v/>
      </c>
      <c r="AI498" s="19" t="str">
        <f aca="false">IF(U498&lt;&gt;"Closed","",COUNTIFS($U$7:$U$506,"Closed",$P$7:$P$506,"&lt;"&amp;P498)+COUNTIFS($U$7:U498,"Closed",$P$7:P498,P498))</f>
        <v/>
      </c>
    </row>
    <row r="499" customFormat="false" ht="15" hidden="false" customHeight="false" outlineLevel="0" collapsed="false">
      <c r="A499" s="13"/>
      <c r="B499" s="48"/>
      <c r="C499" s="48"/>
      <c r="D499" s="48"/>
      <c r="E499" s="15"/>
      <c r="F499" s="15"/>
      <c r="G499" s="16"/>
      <c r="H499" s="17"/>
      <c r="I499" s="17"/>
      <c r="J499" s="17"/>
      <c r="K499" s="17"/>
      <c r="L499" s="16"/>
      <c r="M499" s="17"/>
      <c r="N499" s="16"/>
      <c r="O499" s="17"/>
      <c r="P499" s="15"/>
      <c r="Q499" s="17"/>
      <c r="R499" s="17"/>
      <c r="S499" s="17"/>
      <c r="T499" s="17"/>
      <c r="U499" s="18" t="str">
        <f aca="false">IF(A499="","",IF(N(G499)-N(L499)-N(N499)&lt;0,"Check shares",IF(AND(P499&lt;&gt;"",Q499&lt;&gt;""),"Closed","Open")))</f>
        <v/>
      </c>
      <c r="V499" s="19" t="str">
        <f aca="false">IF(OR(F499="",P499=""),"",NETWORKDAYS(F499,P499,Lists!$F$5:$F$40)-1)</f>
        <v/>
      </c>
      <c r="W499" s="18" t="str">
        <f aca="false">IF(V499="","",IF(V499=0,"Same day","Overnight"))</f>
        <v/>
      </c>
      <c r="X499" s="18" t="str">
        <f aca="false">IF(OR(E499="",F499=""),"",IF(AND(E499&gt;=F499,OR(P499="",E499&lt;=P499)),"Yes","No"))</f>
        <v/>
      </c>
      <c r="Y499" s="20" t="str">
        <f aca="false">IF(A499="","",N(G499)-N(L499)-N(N499))</f>
        <v/>
      </c>
      <c r="Z499" s="21" t="str">
        <f aca="false">IF(OR(G499="",H499="",I499=""),"",ABS(H499-I499)*G499)</f>
        <v/>
      </c>
      <c r="AA499" s="22" t="str">
        <f aca="false">IF(OR(J499="",N(Z499)=0),"",ABS(J499-H499)/ABS(H499-I499))</f>
        <v/>
      </c>
      <c r="AB499" s="23" t="str">
        <f aca="false">IF(U499&lt;&gt;"Closed","",(N(L499)*N(M499)+N(N499)*N(O499)+Y499*Q499)/G499)</f>
        <v/>
      </c>
      <c r="AC499" s="24" t="str">
        <f aca="false">IF(U499&lt;&gt;"Closed","",IF($B499="Short",-1,1)*((N(M499)-H499)*N(L499)+(N(O499)-H499)*N(N499)+(Q499-H499)*Y499)-N(R499))</f>
        <v/>
      </c>
      <c r="AD499" s="25" t="str">
        <f aca="false">IF(OR(AC499="",N(Z499)=0),"",AC499/Z499)</f>
        <v/>
      </c>
      <c r="AE499" s="25" t="str">
        <f aca="false">IF(OR(S499="",N(Z499)=0),"",IF($B499="Short",-1,1)*(S499-H499)*G499/Z499)</f>
        <v/>
      </c>
      <c r="AF499" s="25" t="str">
        <f aca="false">IF(OR(T499="",N(Z499)=0),"",IF($B499="Short",-1,1)*(T499-H499)*G499/Z499)</f>
        <v/>
      </c>
      <c r="AG499" s="21" t="str">
        <f aca="false">IF(U499&lt;&gt;"Open","",Y499*MAX(0,IF($B499="Short",-1,1)*(H499-IF(K499="",I499,K499))))</f>
        <v/>
      </c>
      <c r="AH499" s="26" t="str">
        <f aca="false">IF(U499&lt;&gt;"Closed","",DATE(YEAR(P499),MONTH(P499),1))</f>
        <v/>
      </c>
      <c r="AI499" s="19" t="str">
        <f aca="false">IF(U499&lt;&gt;"Closed","",COUNTIFS($U$7:$U$506,"Closed",$P$7:$P$506,"&lt;"&amp;P499)+COUNTIFS($U$7:U499,"Closed",$P$7:P499,P499))</f>
        <v/>
      </c>
    </row>
    <row r="500" customFormat="false" ht="15" hidden="false" customHeight="false" outlineLevel="0" collapsed="false">
      <c r="A500" s="13"/>
      <c r="B500" s="48"/>
      <c r="C500" s="48"/>
      <c r="D500" s="48"/>
      <c r="E500" s="15"/>
      <c r="F500" s="15"/>
      <c r="G500" s="16"/>
      <c r="H500" s="17"/>
      <c r="I500" s="17"/>
      <c r="J500" s="17"/>
      <c r="K500" s="17"/>
      <c r="L500" s="16"/>
      <c r="M500" s="17"/>
      <c r="N500" s="16"/>
      <c r="O500" s="17"/>
      <c r="P500" s="15"/>
      <c r="Q500" s="17"/>
      <c r="R500" s="17"/>
      <c r="S500" s="17"/>
      <c r="T500" s="17"/>
      <c r="U500" s="18" t="str">
        <f aca="false">IF(A500="","",IF(N(G500)-N(L500)-N(N500)&lt;0,"Check shares",IF(AND(P500&lt;&gt;"",Q500&lt;&gt;""),"Closed","Open")))</f>
        <v/>
      </c>
      <c r="V500" s="19" t="str">
        <f aca="false">IF(OR(F500="",P500=""),"",NETWORKDAYS(F500,P500,Lists!$F$5:$F$40)-1)</f>
        <v/>
      </c>
      <c r="W500" s="18" t="str">
        <f aca="false">IF(V500="","",IF(V500=0,"Same day","Overnight"))</f>
        <v/>
      </c>
      <c r="X500" s="18" t="str">
        <f aca="false">IF(OR(E500="",F500=""),"",IF(AND(E500&gt;=F500,OR(P500="",E500&lt;=P500)),"Yes","No"))</f>
        <v/>
      </c>
      <c r="Y500" s="20" t="str">
        <f aca="false">IF(A500="","",N(G500)-N(L500)-N(N500))</f>
        <v/>
      </c>
      <c r="Z500" s="21" t="str">
        <f aca="false">IF(OR(G500="",H500="",I500=""),"",ABS(H500-I500)*G500)</f>
        <v/>
      </c>
      <c r="AA500" s="22" t="str">
        <f aca="false">IF(OR(J500="",N(Z500)=0),"",ABS(J500-H500)/ABS(H500-I500))</f>
        <v/>
      </c>
      <c r="AB500" s="23" t="str">
        <f aca="false">IF(U500&lt;&gt;"Closed","",(N(L500)*N(M500)+N(N500)*N(O500)+Y500*Q500)/G500)</f>
        <v/>
      </c>
      <c r="AC500" s="24" t="str">
        <f aca="false">IF(U500&lt;&gt;"Closed","",IF($B500="Short",-1,1)*((N(M500)-H500)*N(L500)+(N(O500)-H500)*N(N500)+(Q500-H500)*Y500)-N(R500))</f>
        <v/>
      </c>
      <c r="AD500" s="25" t="str">
        <f aca="false">IF(OR(AC500="",N(Z500)=0),"",AC500/Z500)</f>
        <v/>
      </c>
      <c r="AE500" s="25" t="str">
        <f aca="false">IF(OR(S500="",N(Z500)=0),"",IF($B500="Short",-1,1)*(S500-H500)*G500/Z500)</f>
        <v/>
      </c>
      <c r="AF500" s="25" t="str">
        <f aca="false">IF(OR(T500="",N(Z500)=0),"",IF($B500="Short",-1,1)*(T500-H500)*G500/Z500)</f>
        <v/>
      </c>
      <c r="AG500" s="21" t="str">
        <f aca="false">IF(U500&lt;&gt;"Open","",Y500*MAX(0,IF($B500="Short",-1,1)*(H500-IF(K500="",I500,K500))))</f>
        <v/>
      </c>
      <c r="AH500" s="26" t="str">
        <f aca="false">IF(U500&lt;&gt;"Closed","",DATE(YEAR(P500),MONTH(P500),1))</f>
        <v/>
      </c>
      <c r="AI500" s="19" t="str">
        <f aca="false">IF(U500&lt;&gt;"Closed","",COUNTIFS($U$7:$U$506,"Closed",$P$7:$P$506,"&lt;"&amp;P500)+COUNTIFS($U$7:U500,"Closed",$P$7:P500,P500))</f>
        <v/>
      </c>
    </row>
    <row r="501" customFormat="false" ht="15" hidden="false" customHeight="false" outlineLevel="0" collapsed="false">
      <c r="A501" s="13"/>
      <c r="B501" s="48"/>
      <c r="C501" s="48"/>
      <c r="D501" s="48"/>
      <c r="E501" s="15"/>
      <c r="F501" s="15"/>
      <c r="G501" s="16"/>
      <c r="H501" s="17"/>
      <c r="I501" s="17"/>
      <c r="J501" s="17"/>
      <c r="K501" s="17"/>
      <c r="L501" s="16"/>
      <c r="M501" s="17"/>
      <c r="N501" s="16"/>
      <c r="O501" s="17"/>
      <c r="P501" s="15"/>
      <c r="Q501" s="17"/>
      <c r="R501" s="17"/>
      <c r="S501" s="17"/>
      <c r="T501" s="17"/>
      <c r="U501" s="18" t="str">
        <f aca="false">IF(A501="","",IF(N(G501)-N(L501)-N(N501)&lt;0,"Check shares",IF(AND(P501&lt;&gt;"",Q501&lt;&gt;""),"Closed","Open")))</f>
        <v/>
      </c>
      <c r="V501" s="19" t="str">
        <f aca="false">IF(OR(F501="",P501=""),"",NETWORKDAYS(F501,P501,Lists!$F$5:$F$40)-1)</f>
        <v/>
      </c>
      <c r="W501" s="18" t="str">
        <f aca="false">IF(V501="","",IF(V501=0,"Same day","Overnight"))</f>
        <v/>
      </c>
      <c r="X501" s="18" t="str">
        <f aca="false">IF(OR(E501="",F501=""),"",IF(AND(E501&gt;=F501,OR(P501="",E501&lt;=P501)),"Yes","No"))</f>
        <v/>
      </c>
      <c r="Y501" s="20" t="str">
        <f aca="false">IF(A501="","",N(G501)-N(L501)-N(N501))</f>
        <v/>
      </c>
      <c r="Z501" s="21" t="str">
        <f aca="false">IF(OR(G501="",H501="",I501=""),"",ABS(H501-I501)*G501)</f>
        <v/>
      </c>
      <c r="AA501" s="22" t="str">
        <f aca="false">IF(OR(J501="",N(Z501)=0),"",ABS(J501-H501)/ABS(H501-I501))</f>
        <v/>
      </c>
      <c r="AB501" s="23" t="str">
        <f aca="false">IF(U501&lt;&gt;"Closed","",(N(L501)*N(M501)+N(N501)*N(O501)+Y501*Q501)/G501)</f>
        <v/>
      </c>
      <c r="AC501" s="24" t="str">
        <f aca="false">IF(U501&lt;&gt;"Closed","",IF($B501="Short",-1,1)*((N(M501)-H501)*N(L501)+(N(O501)-H501)*N(N501)+(Q501-H501)*Y501)-N(R501))</f>
        <v/>
      </c>
      <c r="AD501" s="25" t="str">
        <f aca="false">IF(OR(AC501="",N(Z501)=0),"",AC501/Z501)</f>
        <v/>
      </c>
      <c r="AE501" s="25" t="str">
        <f aca="false">IF(OR(S501="",N(Z501)=0),"",IF($B501="Short",-1,1)*(S501-H501)*G501/Z501)</f>
        <v/>
      </c>
      <c r="AF501" s="25" t="str">
        <f aca="false">IF(OR(T501="",N(Z501)=0),"",IF($B501="Short",-1,1)*(T501-H501)*G501/Z501)</f>
        <v/>
      </c>
      <c r="AG501" s="21" t="str">
        <f aca="false">IF(U501&lt;&gt;"Open","",Y501*MAX(0,IF($B501="Short",-1,1)*(H501-IF(K501="",I501,K501))))</f>
        <v/>
      </c>
      <c r="AH501" s="26" t="str">
        <f aca="false">IF(U501&lt;&gt;"Closed","",DATE(YEAR(P501),MONTH(P501),1))</f>
        <v/>
      </c>
      <c r="AI501" s="19" t="str">
        <f aca="false">IF(U501&lt;&gt;"Closed","",COUNTIFS($U$7:$U$506,"Closed",$P$7:$P$506,"&lt;"&amp;P501)+COUNTIFS($U$7:U501,"Closed",$P$7:P501,P501))</f>
        <v/>
      </c>
    </row>
    <row r="502" customFormat="false" ht="15" hidden="false" customHeight="false" outlineLevel="0" collapsed="false">
      <c r="A502" s="13"/>
      <c r="B502" s="48"/>
      <c r="C502" s="48"/>
      <c r="D502" s="48"/>
      <c r="E502" s="15"/>
      <c r="F502" s="15"/>
      <c r="G502" s="16"/>
      <c r="H502" s="17"/>
      <c r="I502" s="17"/>
      <c r="J502" s="17"/>
      <c r="K502" s="17"/>
      <c r="L502" s="16"/>
      <c r="M502" s="17"/>
      <c r="N502" s="16"/>
      <c r="O502" s="17"/>
      <c r="P502" s="15"/>
      <c r="Q502" s="17"/>
      <c r="R502" s="17"/>
      <c r="S502" s="17"/>
      <c r="T502" s="17"/>
      <c r="U502" s="18" t="str">
        <f aca="false">IF(A502="","",IF(N(G502)-N(L502)-N(N502)&lt;0,"Check shares",IF(AND(P502&lt;&gt;"",Q502&lt;&gt;""),"Closed","Open")))</f>
        <v/>
      </c>
      <c r="V502" s="19" t="str">
        <f aca="false">IF(OR(F502="",P502=""),"",NETWORKDAYS(F502,P502,Lists!$F$5:$F$40)-1)</f>
        <v/>
      </c>
      <c r="W502" s="18" t="str">
        <f aca="false">IF(V502="","",IF(V502=0,"Same day","Overnight"))</f>
        <v/>
      </c>
      <c r="X502" s="18" t="str">
        <f aca="false">IF(OR(E502="",F502=""),"",IF(AND(E502&gt;=F502,OR(P502="",E502&lt;=P502)),"Yes","No"))</f>
        <v/>
      </c>
      <c r="Y502" s="20" t="str">
        <f aca="false">IF(A502="","",N(G502)-N(L502)-N(N502))</f>
        <v/>
      </c>
      <c r="Z502" s="21" t="str">
        <f aca="false">IF(OR(G502="",H502="",I502=""),"",ABS(H502-I502)*G502)</f>
        <v/>
      </c>
      <c r="AA502" s="22" t="str">
        <f aca="false">IF(OR(J502="",N(Z502)=0),"",ABS(J502-H502)/ABS(H502-I502))</f>
        <v/>
      </c>
      <c r="AB502" s="23" t="str">
        <f aca="false">IF(U502&lt;&gt;"Closed","",(N(L502)*N(M502)+N(N502)*N(O502)+Y502*Q502)/G502)</f>
        <v/>
      </c>
      <c r="AC502" s="24" t="str">
        <f aca="false">IF(U502&lt;&gt;"Closed","",IF($B502="Short",-1,1)*((N(M502)-H502)*N(L502)+(N(O502)-H502)*N(N502)+(Q502-H502)*Y502)-N(R502))</f>
        <v/>
      </c>
      <c r="AD502" s="25" t="str">
        <f aca="false">IF(OR(AC502="",N(Z502)=0),"",AC502/Z502)</f>
        <v/>
      </c>
      <c r="AE502" s="25" t="str">
        <f aca="false">IF(OR(S502="",N(Z502)=0),"",IF($B502="Short",-1,1)*(S502-H502)*G502/Z502)</f>
        <v/>
      </c>
      <c r="AF502" s="25" t="str">
        <f aca="false">IF(OR(T502="",N(Z502)=0),"",IF($B502="Short",-1,1)*(T502-H502)*G502/Z502)</f>
        <v/>
      </c>
      <c r="AG502" s="21" t="str">
        <f aca="false">IF(U502&lt;&gt;"Open","",Y502*MAX(0,IF($B502="Short",-1,1)*(H502-IF(K502="",I502,K502))))</f>
        <v/>
      </c>
      <c r="AH502" s="26" t="str">
        <f aca="false">IF(U502&lt;&gt;"Closed","",DATE(YEAR(P502),MONTH(P502),1))</f>
        <v/>
      </c>
      <c r="AI502" s="19" t="str">
        <f aca="false">IF(U502&lt;&gt;"Closed","",COUNTIFS($U$7:$U$506,"Closed",$P$7:$P$506,"&lt;"&amp;P502)+COUNTIFS($U$7:U502,"Closed",$P$7:P502,P502))</f>
        <v/>
      </c>
    </row>
    <row r="503" customFormat="false" ht="15" hidden="false" customHeight="false" outlineLevel="0" collapsed="false">
      <c r="A503" s="13"/>
      <c r="B503" s="48"/>
      <c r="C503" s="48"/>
      <c r="D503" s="48"/>
      <c r="E503" s="15"/>
      <c r="F503" s="15"/>
      <c r="G503" s="16"/>
      <c r="H503" s="17"/>
      <c r="I503" s="17"/>
      <c r="J503" s="17"/>
      <c r="K503" s="17"/>
      <c r="L503" s="16"/>
      <c r="M503" s="17"/>
      <c r="N503" s="16"/>
      <c r="O503" s="17"/>
      <c r="P503" s="15"/>
      <c r="Q503" s="17"/>
      <c r="R503" s="17"/>
      <c r="S503" s="17"/>
      <c r="T503" s="17"/>
      <c r="U503" s="18" t="str">
        <f aca="false">IF(A503="","",IF(N(G503)-N(L503)-N(N503)&lt;0,"Check shares",IF(AND(P503&lt;&gt;"",Q503&lt;&gt;""),"Closed","Open")))</f>
        <v/>
      </c>
      <c r="V503" s="19" t="str">
        <f aca="false">IF(OR(F503="",P503=""),"",NETWORKDAYS(F503,P503,Lists!$F$5:$F$40)-1)</f>
        <v/>
      </c>
      <c r="W503" s="18" t="str">
        <f aca="false">IF(V503="","",IF(V503=0,"Same day","Overnight"))</f>
        <v/>
      </c>
      <c r="X503" s="18" t="str">
        <f aca="false">IF(OR(E503="",F503=""),"",IF(AND(E503&gt;=F503,OR(P503="",E503&lt;=P503)),"Yes","No"))</f>
        <v/>
      </c>
      <c r="Y503" s="20" t="str">
        <f aca="false">IF(A503="","",N(G503)-N(L503)-N(N503))</f>
        <v/>
      </c>
      <c r="Z503" s="21" t="str">
        <f aca="false">IF(OR(G503="",H503="",I503=""),"",ABS(H503-I503)*G503)</f>
        <v/>
      </c>
      <c r="AA503" s="22" t="str">
        <f aca="false">IF(OR(J503="",N(Z503)=0),"",ABS(J503-H503)/ABS(H503-I503))</f>
        <v/>
      </c>
      <c r="AB503" s="23" t="str">
        <f aca="false">IF(U503&lt;&gt;"Closed","",(N(L503)*N(M503)+N(N503)*N(O503)+Y503*Q503)/G503)</f>
        <v/>
      </c>
      <c r="AC503" s="24" t="str">
        <f aca="false">IF(U503&lt;&gt;"Closed","",IF($B503="Short",-1,1)*((N(M503)-H503)*N(L503)+(N(O503)-H503)*N(N503)+(Q503-H503)*Y503)-N(R503))</f>
        <v/>
      </c>
      <c r="AD503" s="25" t="str">
        <f aca="false">IF(OR(AC503="",N(Z503)=0),"",AC503/Z503)</f>
        <v/>
      </c>
      <c r="AE503" s="25" t="str">
        <f aca="false">IF(OR(S503="",N(Z503)=0),"",IF($B503="Short",-1,1)*(S503-H503)*G503/Z503)</f>
        <v/>
      </c>
      <c r="AF503" s="25" t="str">
        <f aca="false">IF(OR(T503="",N(Z503)=0),"",IF($B503="Short",-1,1)*(T503-H503)*G503/Z503)</f>
        <v/>
      </c>
      <c r="AG503" s="21" t="str">
        <f aca="false">IF(U503&lt;&gt;"Open","",Y503*MAX(0,IF($B503="Short",-1,1)*(H503-IF(K503="",I503,K503))))</f>
        <v/>
      </c>
      <c r="AH503" s="26" t="str">
        <f aca="false">IF(U503&lt;&gt;"Closed","",DATE(YEAR(P503),MONTH(P503),1))</f>
        <v/>
      </c>
      <c r="AI503" s="19" t="str">
        <f aca="false">IF(U503&lt;&gt;"Closed","",COUNTIFS($U$7:$U$506,"Closed",$P$7:$P$506,"&lt;"&amp;P503)+COUNTIFS($U$7:U503,"Closed",$P$7:P503,P503))</f>
        <v/>
      </c>
    </row>
    <row r="504" customFormat="false" ht="15" hidden="false" customHeight="false" outlineLevel="0" collapsed="false">
      <c r="A504" s="13"/>
      <c r="B504" s="48"/>
      <c r="C504" s="48"/>
      <c r="D504" s="48"/>
      <c r="E504" s="15"/>
      <c r="F504" s="15"/>
      <c r="G504" s="16"/>
      <c r="H504" s="17"/>
      <c r="I504" s="17"/>
      <c r="J504" s="17"/>
      <c r="K504" s="17"/>
      <c r="L504" s="16"/>
      <c r="M504" s="17"/>
      <c r="N504" s="16"/>
      <c r="O504" s="17"/>
      <c r="P504" s="15"/>
      <c r="Q504" s="17"/>
      <c r="R504" s="17"/>
      <c r="S504" s="17"/>
      <c r="T504" s="17"/>
      <c r="U504" s="18" t="str">
        <f aca="false">IF(A504="","",IF(N(G504)-N(L504)-N(N504)&lt;0,"Check shares",IF(AND(P504&lt;&gt;"",Q504&lt;&gt;""),"Closed","Open")))</f>
        <v/>
      </c>
      <c r="V504" s="19" t="str">
        <f aca="false">IF(OR(F504="",P504=""),"",NETWORKDAYS(F504,P504,Lists!$F$5:$F$40)-1)</f>
        <v/>
      </c>
      <c r="W504" s="18" t="str">
        <f aca="false">IF(V504="","",IF(V504=0,"Same day","Overnight"))</f>
        <v/>
      </c>
      <c r="X504" s="18" t="str">
        <f aca="false">IF(OR(E504="",F504=""),"",IF(AND(E504&gt;=F504,OR(P504="",E504&lt;=P504)),"Yes","No"))</f>
        <v/>
      </c>
      <c r="Y504" s="20" t="str">
        <f aca="false">IF(A504="","",N(G504)-N(L504)-N(N504))</f>
        <v/>
      </c>
      <c r="Z504" s="21" t="str">
        <f aca="false">IF(OR(G504="",H504="",I504=""),"",ABS(H504-I504)*G504)</f>
        <v/>
      </c>
      <c r="AA504" s="22" t="str">
        <f aca="false">IF(OR(J504="",N(Z504)=0),"",ABS(J504-H504)/ABS(H504-I504))</f>
        <v/>
      </c>
      <c r="AB504" s="23" t="str">
        <f aca="false">IF(U504&lt;&gt;"Closed","",(N(L504)*N(M504)+N(N504)*N(O504)+Y504*Q504)/G504)</f>
        <v/>
      </c>
      <c r="AC504" s="24" t="str">
        <f aca="false">IF(U504&lt;&gt;"Closed","",IF($B504="Short",-1,1)*((N(M504)-H504)*N(L504)+(N(O504)-H504)*N(N504)+(Q504-H504)*Y504)-N(R504))</f>
        <v/>
      </c>
      <c r="AD504" s="25" t="str">
        <f aca="false">IF(OR(AC504="",N(Z504)=0),"",AC504/Z504)</f>
        <v/>
      </c>
      <c r="AE504" s="25" t="str">
        <f aca="false">IF(OR(S504="",N(Z504)=0),"",IF($B504="Short",-1,1)*(S504-H504)*G504/Z504)</f>
        <v/>
      </c>
      <c r="AF504" s="25" t="str">
        <f aca="false">IF(OR(T504="",N(Z504)=0),"",IF($B504="Short",-1,1)*(T504-H504)*G504/Z504)</f>
        <v/>
      </c>
      <c r="AG504" s="21" t="str">
        <f aca="false">IF(U504&lt;&gt;"Open","",Y504*MAX(0,IF($B504="Short",-1,1)*(H504-IF(K504="",I504,K504))))</f>
        <v/>
      </c>
      <c r="AH504" s="26" t="str">
        <f aca="false">IF(U504&lt;&gt;"Closed","",DATE(YEAR(P504),MONTH(P504),1))</f>
        <v/>
      </c>
      <c r="AI504" s="19" t="str">
        <f aca="false">IF(U504&lt;&gt;"Closed","",COUNTIFS($U$7:$U$506,"Closed",$P$7:$P$506,"&lt;"&amp;P504)+COUNTIFS($U$7:U504,"Closed",$P$7:P504,P504))</f>
        <v/>
      </c>
    </row>
    <row r="505" customFormat="false" ht="15" hidden="false" customHeight="false" outlineLevel="0" collapsed="false">
      <c r="A505" s="13"/>
      <c r="B505" s="48"/>
      <c r="C505" s="48"/>
      <c r="D505" s="48"/>
      <c r="E505" s="15"/>
      <c r="F505" s="15"/>
      <c r="G505" s="16"/>
      <c r="H505" s="17"/>
      <c r="I505" s="17"/>
      <c r="J505" s="17"/>
      <c r="K505" s="17"/>
      <c r="L505" s="16"/>
      <c r="M505" s="17"/>
      <c r="N505" s="16"/>
      <c r="O505" s="17"/>
      <c r="P505" s="15"/>
      <c r="Q505" s="17"/>
      <c r="R505" s="17"/>
      <c r="S505" s="17"/>
      <c r="T505" s="17"/>
      <c r="U505" s="18" t="str">
        <f aca="false">IF(A505="","",IF(N(G505)-N(L505)-N(N505)&lt;0,"Check shares",IF(AND(P505&lt;&gt;"",Q505&lt;&gt;""),"Closed","Open")))</f>
        <v/>
      </c>
      <c r="V505" s="19" t="str">
        <f aca="false">IF(OR(F505="",P505=""),"",NETWORKDAYS(F505,P505,Lists!$F$5:$F$40)-1)</f>
        <v/>
      </c>
      <c r="W505" s="18" t="str">
        <f aca="false">IF(V505="","",IF(V505=0,"Same day","Overnight"))</f>
        <v/>
      </c>
      <c r="X505" s="18" t="str">
        <f aca="false">IF(OR(E505="",F505=""),"",IF(AND(E505&gt;=F505,OR(P505="",E505&lt;=P505)),"Yes","No"))</f>
        <v/>
      </c>
      <c r="Y505" s="20" t="str">
        <f aca="false">IF(A505="","",N(G505)-N(L505)-N(N505))</f>
        <v/>
      </c>
      <c r="Z505" s="21" t="str">
        <f aca="false">IF(OR(G505="",H505="",I505=""),"",ABS(H505-I505)*G505)</f>
        <v/>
      </c>
      <c r="AA505" s="22" t="str">
        <f aca="false">IF(OR(J505="",N(Z505)=0),"",ABS(J505-H505)/ABS(H505-I505))</f>
        <v/>
      </c>
      <c r="AB505" s="23" t="str">
        <f aca="false">IF(U505&lt;&gt;"Closed","",(N(L505)*N(M505)+N(N505)*N(O505)+Y505*Q505)/G505)</f>
        <v/>
      </c>
      <c r="AC505" s="24" t="str">
        <f aca="false">IF(U505&lt;&gt;"Closed","",IF($B505="Short",-1,1)*((N(M505)-H505)*N(L505)+(N(O505)-H505)*N(N505)+(Q505-H505)*Y505)-N(R505))</f>
        <v/>
      </c>
      <c r="AD505" s="25" t="str">
        <f aca="false">IF(OR(AC505="",N(Z505)=0),"",AC505/Z505)</f>
        <v/>
      </c>
      <c r="AE505" s="25" t="str">
        <f aca="false">IF(OR(S505="",N(Z505)=0),"",IF($B505="Short",-1,1)*(S505-H505)*G505/Z505)</f>
        <v/>
      </c>
      <c r="AF505" s="25" t="str">
        <f aca="false">IF(OR(T505="",N(Z505)=0),"",IF($B505="Short",-1,1)*(T505-H505)*G505/Z505)</f>
        <v/>
      </c>
      <c r="AG505" s="21" t="str">
        <f aca="false">IF(U505&lt;&gt;"Open","",Y505*MAX(0,IF($B505="Short",-1,1)*(H505-IF(K505="",I505,K505))))</f>
        <v/>
      </c>
      <c r="AH505" s="26" t="str">
        <f aca="false">IF(U505&lt;&gt;"Closed","",DATE(YEAR(P505),MONTH(P505),1))</f>
        <v/>
      </c>
      <c r="AI505" s="19" t="str">
        <f aca="false">IF(U505&lt;&gt;"Closed","",COUNTIFS($U$7:$U$506,"Closed",$P$7:$P$506,"&lt;"&amp;P505)+COUNTIFS($U$7:U505,"Closed",$P$7:P505,P505))</f>
        <v/>
      </c>
    </row>
    <row r="506" customFormat="false" ht="15" hidden="false" customHeight="false" outlineLevel="0" collapsed="false">
      <c r="A506" s="13"/>
      <c r="B506" s="48"/>
      <c r="C506" s="48"/>
      <c r="D506" s="48"/>
      <c r="E506" s="15"/>
      <c r="F506" s="15"/>
      <c r="G506" s="16"/>
      <c r="H506" s="17"/>
      <c r="I506" s="17"/>
      <c r="J506" s="17"/>
      <c r="K506" s="17"/>
      <c r="L506" s="16"/>
      <c r="M506" s="17"/>
      <c r="N506" s="16"/>
      <c r="O506" s="17"/>
      <c r="P506" s="15"/>
      <c r="Q506" s="17"/>
      <c r="R506" s="17"/>
      <c r="S506" s="17"/>
      <c r="T506" s="17"/>
      <c r="U506" s="18" t="str">
        <f aca="false">IF(A506="","",IF(N(G506)-N(L506)-N(N506)&lt;0,"Check shares",IF(AND(P506&lt;&gt;"",Q506&lt;&gt;""),"Closed","Open")))</f>
        <v/>
      </c>
      <c r="V506" s="19" t="str">
        <f aca="false">IF(OR(F506="",P506=""),"",NETWORKDAYS(F506,P506,Lists!$F$5:$F$40)-1)</f>
        <v/>
      </c>
      <c r="W506" s="18" t="str">
        <f aca="false">IF(V506="","",IF(V506=0,"Same day","Overnight"))</f>
        <v/>
      </c>
      <c r="X506" s="18" t="str">
        <f aca="false">IF(OR(E506="",F506=""),"",IF(AND(E506&gt;=F506,OR(P506="",E506&lt;=P506)),"Yes","No"))</f>
        <v/>
      </c>
      <c r="Y506" s="20" t="str">
        <f aca="false">IF(A506="","",N(G506)-N(L506)-N(N506))</f>
        <v/>
      </c>
      <c r="Z506" s="21" t="str">
        <f aca="false">IF(OR(G506="",H506="",I506=""),"",ABS(H506-I506)*G506)</f>
        <v/>
      </c>
      <c r="AA506" s="22" t="str">
        <f aca="false">IF(OR(J506="",N(Z506)=0),"",ABS(J506-H506)/ABS(H506-I506))</f>
        <v/>
      </c>
      <c r="AB506" s="23" t="str">
        <f aca="false">IF(U506&lt;&gt;"Closed","",(N(L506)*N(M506)+N(N506)*N(O506)+Y506*Q506)/G506)</f>
        <v/>
      </c>
      <c r="AC506" s="24" t="str">
        <f aca="false">IF(U506&lt;&gt;"Closed","",IF($B506="Short",-1,1)*((N(M506)-H506)*N(L506)+(N(O506)-H506)*N(N506)+(Q506-H506)*Y506)-N(R506))</f>
        <v/>
      </c>
      <c r="AD506" s="25" t="str">
        <f aca="false">IF(OR(AC506="",N(Z506)=0),"",AC506/Z506)</f>
        <v/>
      </c>
      <c r="AE506" s="25" t="str">
        <f aca="false">IF(OR(S506="",N(Z506)=0),"",IF($B506="Short",-1,1)*(S506-H506)*G506/Z506)</f>
        <v/>
      </c>
      <c r="AF506" s="25" t="str">
        <f aca="false">IF(OR(T506="",N(Z506)=0),"",IF($B506="Short",-1,1)*(T506-H506)*G506/Z506)</f>
        <v/>
      </c>
      <c r="AG506" s="21" t="str">
        <f aca="false">IF(U506&lt;&gt;"Open","",Y506*MAX(0,IF($B506="Short",-1,1)*(H506-IF(K506="",I506,K506))))</f>
        <v/>
      </c>
      <c r="AH506" s="26" t="str">
        <f aca="false">IF(U506&lt;&gt;"Closed","",DATE(YEAR(P506),MONTH(P506),1))</f>
        <v/>
      </c>
      <c r="AI506" s="19" t="str">
        <f aca="false">IF(U506&lt;&gt;"Closed","",COUNTIFS($U$7:$U$506,"Closed",$P$7:$P$506,"&lt;"&amp;P506)+COUNTIFS($U$7:U506,"Closed",$P$7:P506,P506))</f>
        <v/>
      </c>
    </row>
  </sheetData>
  <conditionalFormatting sqref="U7:U506">
    <cfRule type="cellIs" priority="2" operator="equal" aboveAverage="0" equalAverage="0" bottom="0" percent="0" rank="0" text="" dxfId="0">
      <formula>"Check shares"</formula>
    </cfRule>
  </conditionalFormatting>
  <conditionalFormatting sqref="X7:X506">
    <cfRule type="cellIs" priority="3" operator="equal" aboveAverage="0" equalAverage="0" bottom="0" percent="0" rank="0" text="" dxfId="1">
      <formula>"Yes"</formula>
    </cfRule>
  </conditionalFormatting>
  <conditionalFormatting sqref="AC7:AD506">
    <cfRule type="expression" priority="4" aboveAverage="0" equalAverage="0" bottom="0" percent="0" rank="0" text="" dxfId="2">
      <formula>AND(ISNUMBER(AC7),AC7&gt;0)</formula>
    </cfRule>
  </conditionalFormatting>
  <conditionalFormatting sqref="J4">
    <cfRule type="cellIs" priority="5" operator="equal" aboveAverage="0" equalAverage="0" bottom="0" percent="0" rank="0" text="" dxfId="0">
      <formula>"Over limit"</formula>
    </cfRule>
  </conditionalFormatting>
  <dataValidations count="5">
    <dataValidation allowBlank="true" error="Enter a date (e.g. 2026-10-29)." errorStyle="stop" operator="greaterThan" showDropDown="false" showErrorMessage="true" showInputMessage="false" sqref="E7:F506 P7:P506" type="date">
      <formula1>36526</formula1>
      <formula2>0</formula2>
    </dataValidation>
    <dataValidation allowBlank="true" error="Enter a number of 0 or more." errorStyle="stop" operator="greaterThanOrEqual" showDropDown="false" showErrorMessage="true" showInputMessage="false" sqref="G7:O506 Q7:T506" type="decimal">
      <formula1>0</formula1>
      <formula2>0</formula2>
    </dataValidation>
    <dataValidation allowBlank="true" errorStyle="stop" operator="between" showDropDown="false" showErrorMessage="false" showInputMessage="false" sqref="B7:B506" type="list">
      <formula1>"Long,Short"</formula1>
      <formula2>0</formula2>
    </dataValidation>
    <dataValidation allowBlank="true" errorStyle="stop" operator="between" showDropDown="false" showErrorMessage="false" showInputMessage="false" sqref="C7:C506" type="list">
      <formula1>Lists!$A$5:$A$16</formula1>
      <formula2>0</formula2>
    </dataValidation>
    <dataValidation allowBlank="true" errorStyle="stop" operator="between" showDropDown="false" showErrorMessage="false" showInputMessage="false" sqref="D7:D506" type="list">
      <formula1>Lists!$C$5:$C$16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4" min="4" style="0" width="19"/>
    <col collapsed="false" customWidth="true" hidden="false" outlineLevel="0" max="5" min="5" style="0" width="8"/>
    <col collapsed="false" customWidth="true" hidden="false" outlineLevel="0" max="7" min="6" style="0" width="9"/>
    <col collapsed="false" customWidth="true" hidden="false" outlineLevel="0" max="8" min="8" style="0" width="12"/>
    <col collapsed="false" customWidth="true" hidden="false" outlineLevel="0" max="9" min="9" style="0" width="10"/>
    <col collapsed="false" customWidth="true" hidden="false" outlineLevel="0" max="10" min="10" style="0" width="9"/>
    <col collapsed="false" customWidth="true" hidden="false" outlineLevel="0" max="12" min="12" style="0" width="5"/>
    <col collapsed="false" customWidth="true" hidden="false" outlineLevel="0" max="13" min="13" style="0" width="11"/>
    <col collapsed="false" customWidth="true" hidden="false" outlineLevel="0" max="14" min="14" style="0" width="8"/>
    <col collapsed="false" customWidth="true" hidden="false" outlineLevel="0" max="15" min="15" style="0" width="11"/>
    <col collapsed="false" customWidth="true" hidden="false" outlineLevel="0" max="16" min="16" style="0" width="8"/>
    <col collapsed="false" customWidth="true" hidden="false" outlineLevel="0" max="17" min="17" style="0" width="12"/>
    <col collapsed="false" customWidth="true" hidden="false" outlineLevel="0" max="18" min="18" style="0" width="11"/>
  </cols>
  <sheetData>
    <row r="1" customFormat="false" ht="19.7" hidden="false" customHeight="false" outlineLevel="0" collapsed="false">
      <c r="A1" s="4" t="s">
        <v>147</v>
      </c>
    </row>
    <row r="2" customFormat="false" ht="15" hidden="false" customHeight="false" outlineLevel="0" collapsed="false">
      <c r="A2" s="5" t="s">
        <v>148</v>
      </c>
    </row>
    <row r="3" customFormat="false" ht="15" hidden="false" customHeight="false" outlineLevel="0" collapsed="false">
      <c r="D3" s="6" t="s">
        <v>72</v>
      </c>
      <c r="L3" s="6" t="s">
        <v>73</v>
      </c>
    </row>
    <row r="4" customFormat="false" ht="15" hidden="false" customHeight="false" outlineLevel="0" collapsed="false">
      <c r="A4" s="27" t="s">
        <v>74</v>
      </c>
      <c r="B4" s="27" t="s">
        <v>75</v>
      </c>
      <c r="D4" s="28" t="s">
        <v>37</v>
      </c>
      <c r="E4" s="28" t="s">
        <v>76</v>
      </c>
      <c r="F4" s="28" t="s">
        <v>77</v>
      </c>
      <c r="G4" s="28" t="s">
        <v>78</v>
      </c>
      <c r="H4" s="28" t="s">
        <v>79</v>
      </c>
      <c r="I4" s="28" t="s">
        <v>80</v>
      </c>
      <c r="J4" s="28" t="s">
        <v>81</v>
      </c>
      <c r="L4" s="29" t="s">
        <v>82</v>
      </c>
      <c r="M4" s="29" t="s">
        <v>83</v>
      </c>
      <c r="N4" s="29" t="s">
        <v>35</v>
      </c>
      <c r="O4" s="29" t="s">
        <v>78</v>
      </c>
      <c r="P4" s="29" t="s">
        <v>84</v>
      </c>
      <c r="Q4" s="29" t="s">
        <v>85</v>
      </c>
      <c r="R4" s="29" t="s">
        <v>86</v>
      </c>
    </row>
    <row r="5" customFormat="false" ht="15" hidden="false" customHeight="false" outlineLevel="0" collapsed="false">
      <c r="A5" s="30" t="s">
        <v>29</v>
      </c>
      <c r="B5" s="31" t="n">
        <f aca="false">Example!$C$3</f>
        <v>20000</v>
      </c>
      <c r="D5" s="0" t="str">
        <f aca="false">IF(Lists!A5="","",Lists!A5)</f>
        <v>Breakout</v>
      </c>
      <c r="E5" s="32" t="n">
        <f aca="false">IF(D5="","",COUNTIFS(Example!$U$7:$U$506,"Closed",Example!$C$7:$C$506,D5))</f>
        <v>4</v>
      </c>
      <c r="F5" s="33" t="n">
        <f aca="false">IF(N(E5)=0,"",COUNTIFS(Example!$U$7:$U$506,"Closed",Example!$C$7:$C$506,D5,Example!$AC$7:$AC$506,"&gt;0")/E5)</f>
        <v>0.75</v>
      </c>
      <c r="G5" s="34" t="n">
        <f aca="false">IF(D5="","",SUMIFS(Example!$AC$7:$AC$506,Example!$U$7:$U$506,"Closed",Example!$C$7:$C$506,D5))</f>
        <v>642</v>
      </c>
      <c r="H5" s="35" t="n">
        <f aca="false">IF(COUNTIFS(Example!$U$7:$U$506,"Closed",Example!$C$7:$C$506,D5,Example!$Z$7:$Z$506,"&gt;0")=0,"",SUMIFS(Example!$AD$7:$AD$506,Example!$U$7:$U$506,"Closed",Example!$C$7:$C$506,D5,Example!$Z$7:$Z$506,"&gt;0")/COUNTIFS(Example!$U$7:$U$506,"Closed",Example!$C$7:$C$506,D5,Example!$Z$7:$Z$506,"&gt;0"))</f>
        <v>0.795705128205128</v>
      </c>
      <c r="I5" s="36" t="n">
        <f aca="false">IF(N(E5)=0,"",AVERAGEIFS(Example!$V$7:$V$506,Example!$U$7:$U$506,"Closed",Example!$C$7:$C$506,D5))</f>
        <v>4.5</v>
      </c>
      <c r="J5" s="32" t="n">
        <f aca="false">IF(D5="","",COUNTIFS(Example!$U$7:$U$506,"Open",Example!$C$7:$C$506,D5))</f>
        <v>1</v>
      </c>
      <c r="L5" s="0" t="n">
        <v>0</v>
      </c>
      <c r="M5" s="37" t="s">
        <v>87</v>
      </c>
      <c r="O5" s="34"/>
      <c r="P5" s="35"/>
      <c r="Q5" s="34" t="n">
        <f aca="false">N(B5)</f>
        <v>20000</v>
      </c>
      <c r="R5" s="34" t="n">
        <v>0</v>
      </c>
    </row>
    <row r="6" customFormat="false" ht="15" hidden="false" customHeight="false" outlineLevel="0" collapsed="false">
      <c r="A6" s="30" t="s">
        <v>88</v>
      </c>
      <c r="B6" s="38" t="n">
        <f aca="false">COUNTIF(Example!$U$7:$U$506,"Closed")</f>
        <v>23</v>
      </c>
      <c r="D6" s="0" t="str">
        <f aca="false">IF(Lists!A6="","",Lists!A6)</f>
        <v>Pullback</v>
      </c>
      <c r="E6" s="32" t="n">
        <f aca="false">IF(D6="","",COUNTIFS(Example!$U$7:$U$506,"Closed",Example!$C$7:$C$506,D6))</f>
        <v>6</v>
      </c>
      <c r="F6" s="33" t="n">
        <f aca="false">IF(N(E6)=0,"",COUNTIFS(Example!$U$7:$U$506,"Closed",Example!$C$7:$C$506,D6,Example!$AC$7:$AC$506,"&gt;0")/E6)</f>
        <v>0.333333333333333</v>
      </c>
      <c r="G6" s="34" t="n">
        <f aca="false">IF(D6="","",SUMIFS(Example!$AC$7:$AC$506,Example!$U$7:$U$506,"Closed",Example!$C$7:$C$506,D6))</f>
        <v>-264.999999999999</v>
      </c>
      <c r="H6" s="35" t="n">
        <f aca="false">IF(COUNTIFS(Example!$U$7:$U$506,"Closed",Example!$C$7:$C$506,D6,Example!$Z$7:$Z$506,"&gt;0")=0,"",SUMIFS(Example!$AD$7:$AD$506,Example!$U$7:$U$506,"Closed",Example!$C$7:$C$506,D6,Example!$Z$7:$Z$506,"&gt;0")/COUNTIFS(Example!$U$7:$U$506,"Closed",Example!$C$7:$C$506,D6,Example!$Z$7:$Z$506,"&gt;0"))</f>
        <v>-0.225363247863247</v>
      </c>
      <c r="I6" s="36" t="n">
        <f aca="false">IF(N(E6)=0,"",AVERAGEIFS(Example!$V$7:$V$506,Example!$U$7:$U$506,"Closed",Example!$C$7:$C$506,D6))</f>
        <v>4.16666666666667</v>
      </c>
      <c r="J6" s="32" t="n">
        <f aca="false">IF(D6="","",COUNTIFS(Example!$U$7:$U$506,"Open",Example!$C$7:$C$506,D6))</f>
        <v>1</v>
      </c>
      <c r="L6" s="0" t="n">
        <v>1</v>
      </c>
      <c r="M6" s="37" t="n">
        <f aca="false">IF(L6&gt;$B$6,"",INDEX(Example!$P$7:$P$506,MATCH(L6,Example!$AI$7:$AI$506,0)))</f>
        <v>46213</v>
      </c>
      <c r="N6" s="0" t="str">
        <f aca="false">IF(L6&gt;$B$6,"",INDEX(Example!$A$7:$A$506,MATCH(L6,Example!$AI$7:$AI$506,0)))</f>
        <v>TKR-B</v>
      </c>
      <c r="O6" s="34" t="n">
        <f aca="false">IF(L6&gt;$B$6,"",INDEX(Example!$AC$7:$AC$506,MATCH(L6,Example!$AI$7:$AI$506,0)))</f>
        <v>-212</v>
      </c>
      <c r="P6" s="35" t="n">
        <f aca="false">IF(L6&gt;$B$6,"",INDEX(Example!$AD$7:$AD$506,MATCH(L6,Example!$AI$7:$AI$506,0)))</f>
        <v>-1.06</v>
      </c>
      <c r="Q6" s="34" t="n">
        <f aca="false">IF(L6&gt;$B$6,Q5,Q5+O6)</f>
        <v>19788</v>
      </c>
      <c r="R6" s="34" t="n">
        <f aca="false">IF(L6&gt;$B$6,"",Q6-MAX($Q$5:Q6))</f>
        <v>-212</v>
      </c>
    </row>
    <row r="7" customFormat="false" ht="15" hidden="false" customHeight="false" outlineLevel="0" collapsed="false">
      <c r="A7" s="30" t="s">
        <v>89</v>
      </c>
      <c r="B7" s="38" t="n">
        <f aca="false">COUNTIF(Example!$U$7:$U$506,"Open")</f>
        <v>3</v>
      </c>
      <c r="D7" s="0" t="str">
        <f aca="false">IF(Lists!A7="","",Lists!A7)</f>
        <v>Base breakout</v>
      </c>
      <c r="E7" s="32" t="n">
        <f aca="false">IF(D7="","",COUNTIFS(Example!$U$7:$U$506,"Closed",Example!$C$7:$C$506,D7))</f>
        <v>4</v>
      </c>
      <c r="F7" s="33" t="n">
        <f aca="false">IF(N(E7)=0,"",COUNTIFS(Example!$U$7:$U$506,"Closed",Example!$C$7:$C$506,D7,Example!$AC$7:$AC$506,"&gt;0")/E7)</f>
        <v>0.75</v>
      </c>
      <c r="G7" s="34" t="n">
        <f aca="false">IF(D7="","",SUMIFS(Example!$AC$7:$AC$506,Example!$U$7:$U$506,"Closed",Example!$C$7:$C$506,D7))</f>
        <v>376.5</v>
      </c>
      <c r="H7" s="35" t="n">
        <f aca="false">IF(COUNTIFS(Example!$U$7:$U$506,"Closed",Example!$C$7:$C$506,D7,Example!$Z$7:$Z$506,"&gt;0")=0,"",SUMIFS(Example!$AD$7:$AD$506,Example!$U$7:$U$506,"Closed",Example!$C$7:$C$506,D7,Example!$Z$7:$Z$506,"&gt;0")/COUNTIFS(Example!$U$7:$U$506,"Closed",Example!$C$7:$C$506,D7,Example!$Z$7:$Z$506,"&gt;0"))</f>
        <v>0.439895833333334</v>
      </c>
      <c r="I7" s="36" t="n">
        <f aca="false">IF(N(E7)=0,"",AVERAGEIFS(Example!$V$7:$V$506,Example!$U$7:$U$506,"Closed",Example!$C$7:$C$506,D7))</f>
        <v>7.75</v>
      </c>
      <c r="J7" s="32" t="n">
        <f aca="false">IF(D7="","",COUNTIFS(Example!$U$7:$U$506,"Open",Example!$C$7:$C$506,D7))</f>
        <v>0</v>
      </c>
      <c r="L7" s="0" t="n">
        <v>2</v>
      </c>
      <c r="M7" s="37" t="n">
        <f aca="false">IF(L7&gt;$B$6,"",INDEX(Example!$P$7:$P$506,MATCH(L7,Example!$AI$7:$AI$506,0)))</f>
        <v>46217</v>
      </c>
      <c r="N7" s="0" t="str">
        <f aca="false">IF(L7&gt;$B$6,"",INDEX(Example!$A$7:$A$506,MATCH(L7,Example!$AI$7:$AI$506,0)))</f>
        <v>TKR-A</v>
      </c>
      <c r="O7" s="34" t="n">
        <f aca="false">IF(L7&gt;$B$6,"",INDEX(Example!$AC$7:$AC$506,MATCH(L7,Example!$AI$7:$AI$506,0)))</f>
        <v>358</v>
      </c>
      <c r="P7" s="35" t="n">
        <f aca="false">IF(L7&gt;$B$6,"",INDEX(Example!$AD$7:$AD$506,MATCH(L7,Example!$AI$7:$AI$506,0)))</f>
        <v>1.79</v>
      </c>
      <c r="Q7" s="34" t="n">
        <f aca="false">IF(L7&gt;$B$6,Q6,Q6+O7)</f>
        <v>20146</v>
      </c>
      <c r="R7" s="34" t="n">
        <f aca="false">IF(L7&gt;$B$6,"",Q7-MAX($Q$5:Q7))</f>
        <v>0</v>
      </c>
    </row>
    <row r="8" customFormat="false" ht="15" hidden="false" customHeight="false" outlineLevel="0" collapsed="false">
      <c r="A8" s="30" t="s">
        <v>90</v>
      </c>
      <c r="B8" s="38" t="n">
        <f aca="false">COUNTIFS(Example!$U$7:$U$506,"Closed",Example!$AC$7:$AC$506,"&gt;0")</f>
        <v>15</v>
      </c>
      <c r="D8" s="0" t="str">
        <f aca="false">IF(Lists!A8="","",Lists!A8)</f>
        <v>Trend continuation</v>
      </c>
      <c r="E8" s="32" t="n">
        <f aca="false">IF(D8="","",COUNTIFS(Example!$U$7:$U$506,"Closed",Example!$C$7:$C$506,D8))</f>
        <v>3</v>
      </c>
      <c r="F8" s="33" t="n">
        <f aca="false">IF(N(E8)=0,"",COUNTIFS(Example!$U$7:$U$506,"Closed",Example!$C$7:$C$506,D8,Example!$AC$7:$AC$506,"&gt;0")/E8)</f>
        <v>1</v>
      </c>
      <c r="G8" s="34" t="n">
        <f aca="false">IF(D8="","",SUMIFS(Example!$AC$7:$AC$506,Example!$U$7:$U$506,"Closed",Example!$C$7:$C$506,D8))</f>
        <v>582.5</v>
      </c>
      <c r="H8" s="35" t="n">
        <f aca="false">IF(COUNTIFS(Example!$U$7:$U$506,"Closed",Example!$C$7:$C$506,D8,Example!$Z$7:$Z$506,"&gt;0")=0,"",SUMIFS(Example!$AD$7:$AD$506,Example!$U$7:$U$506,"Closed",Example!$C$7:$C$506,D8,Example!$Z$7:$Z$506,"&gt;0")/COUNTIFS(Example!$U$7:$U$506,"Closed",Example!$C$7:$C$506,D8,Example!$Z$7:$Z$506,"&gt;0"))</f>
        <v>0.970833333333333</v>
      </c>
      <c r="I8" s="36" t="n">
        <f aca="false">IF(N(E8)=0,"",AVERAGEIFS(Example!$V$7:$V$506,Example!$U$7:$U$506,"Closed",Example!$C$7:$C$506,D8))</f>
        <v>8.66666666666667</v>
      </c>
      <c r="J8" s="32" t="n">
        <f aca="false">IF(D8="","",COUNTIFS(Example!$U$7:$U$506,"Open",Example!$C$7:$C$506,D8))</f>
        <v>0</v>
      </c>
      <c r="L8" s="0" t="n">
        <v>3</v>
      </c>
      <c r="M8" s="37" t="n">
        <f aca="false">IF(L8&gt;$B$6,"",INDEX(Example!$P$7:$P$506,MATCH(L8,Example!$AI$7:$AI$506,0)))</f>
        <v>46220</v>
      </c>
      <c r="N8" s="0" t="str">
        <f aca="false">IF(L8&gt;$B$6,"",INDEX(Example!$A$7:$A$506,MATCH(L8,Example!$AI$7:$AI$506,0)))</f>
        <v>TKR-C</v>
      </c>
      <c r="O8" s="34" t="n">
        <f aca="false">IF(L8&gt;$B$6,"",INDEX(Example!$AC$7:$AC$506,MATCH(L8,Example!$AI$7:$AI$506,0)))</f>
        <v>358</v>
      </c>
      <c r="P8" s="35" t="n">
        <f aca="false">IF(L8&gt;$B$6,"",INDEX(Example!$AD$7:$AD$506,MATCH(L8,Example!$AI$7:$AI$506,0)))</f>
        <v>1.83589743589744</v>
      </c>
      <c r="Q8" s="34" t="n">
        <f aca="false">IF(L8&gt;$B$6,Q7,Q7+O8)</f>
        <v>20504</v>
      </c>
      <c r="R8" s="34" t="n">
        <f aca="false">IF(L8&gt;$B$6,"",Q8-MAX($Q$5:Q8))</f>
        <v>0</v>
      </c>
    </row>
    <row r="9" customFormat="false" ht="15" hidden="false" customHeight="false" outlineLevel="0" collapsed="false">
      <c r="A9" s="30" t="s">
        <v>91</v>
      </c>
      <c r="B9" s="38" t="n">
        <f aca="false">COUNTIFS(Example!$U$7:$U$506,"Closed",Example!$AC$7:$AC$506,"&lt;0")</f>
        <v>8</v>
      </c>
      <c r="D9" s="0" t="str">
        <f aca="false">IF(Lists!A9="","",Lists!A9)</f>
        <v>Earnings gap</v>
      </c>
      <c r="E9" s="32" t="n">
        <f aca="false">IF(D9="","",COUNTIFS(Example!$U$7:$U$506,"Closed",Example!$C$7:$C$506,D9))</f>
        <v>1</v>
      </c>
      <c r="F9" s="33" t="n">
        <f aca="false">IF(N(E9)=0,"",COUNTIFS(Example!$U$7:$U$506,"Closed",Example!$C$7:$C$506,D9,Example!$AC$7:$AC$506,"&gt;0")/E9)</f>
        <v>1</v>
      </c>
      <c r="G9" s="34" t="n">
        <f aca="false">IF(D9="","",SUMIFS(Example!$AC$7:$AC$506,Example!$U$7:$U$506,"Closed",Example!$C$7:$C$506,D9))</f>
        <v>382.5</v>
      </c>
      <c r="H9" s="35" t="n">
        <f aca="false">IF(COUNTIFS(Example!$U$7:$U$506,"Closed",Example!$C$7:$C$506,D9,Example!$Z$7:$Z$506,"&gt;0")=0,"",SUMIFS(Example!$AD$7:$AD$506,Example!$U$7:$U$506,"Closed",Example!$C$7:$C$506,D9,Example!$Z$7:$Z$506,"&gt;0")/COUNTIFS(Example!$U$7:$U$506,"Closed",Example!$C$7:$C$506,D9,Example!$Z$7:$Z$506,"&gt;0"))</f>
        <v>1.9125</v>
      </c>
      <c r="I9" s="36" t="n">
        <f aca="false">IF(N(E9)=0,"",AVERAGEIFS(Example!$V$7:$V$506,Example!$U$7:$U$506,"Closed",Example!$C$7:$C$506,D9))</f>
        <v>10</v>
      </c>
      <c r="J9" s="32" t="n">
        <f aca="false">IF(D9="","",COUNTIFS(Example!$U$7:$U$506,"Open",Example!$C$7:$C$506,D9))</f>
        <v>0</v>
      </c>
      <c r="L9" s="0" t="n">
        <v>4</v>
      </c>
      <c r="M9" s="37" t="n">
        <f aca="false">IF(L9&gt;$B$6,"",INDEX(Example!$P$7:$P$506,MATCH(L9,Example!$AI$7:$AI$506,0)))</f>
        <v>46225</v>
      </c>
      <c r="N9" s="0" t="str">
        <f aca="false">IF(L9&gt;$B$6,"",INDEX(Example!$A$7:$A$506,MATCH(L9,Example!$AI$7:$AI$506,0)))</f>
        <v>TKR-F</v>
      </c>
      <c r="O9" s="34" t="n">
        <f aca="false">IF(L9&gt;$B$6,"",INDEX(Example!$AC$7:$AC$506,MATCH(L9,Example!$AI$7:$AI$506,0)))</f>
        <v>-212</v>
      </c>
      <c r="P9" s="35" t="n">
        <f aca="false">IF(L9&gt;$B$6,"",INDEX(Example!$AD$7:$AD$506,MATCH(L9,Example!$AI$7:$AI$506,0)))</f>
        <v>-1.08717948717949</v>
      </c>
      <c r="Q9" s="34" t="n">
        <f aca="false">IF(L9&gt;$B$6,Q8,Q8+O9)</f>
        <v>20292</v>
      </c>
      <c r="R9" s="34" t="n">
        <f aca="false">IF(L9&gt;$B$6,"",Q9-MAX($Q$5:Q9))</f>
        <v>-212</v>
      </c>
    </row>
    <row r="10" customFormat="false" ht="15" hidden="false" customHeight="false" outlineLevel="0" collapsed="false">
      <c r="A10" s="30" t="s">
        <v>77</v>
      </c>
      <c r="B10" s="39" t="n">
        <f aca="false">IF(B6=0,"",B8/B6)</f>
        <v>0.652173913043478</v>
      </c>
      <c r="D10" s="0" t="str">
        <f aca="false">IF(Lists!A10="","",Lists!A10)</f>
        <v>Mean reversion</v>
      </c>
      <c r="E10" s="32" t="n">
        <f aca="false">IF(D10="","",COUNTIFS(Example!$U$7:$U$506,"Closed",Example!$C$7:$C$506,D10))</f>
        <v>2</v>
      </c>
      <c r="F10" s="33" t="n">
        <f aca="false">IF(N(E10)=0,"",COUNTIFS(Example!$U$7:$U$506,"Closed",Example!$C$7:$C$506,D10,Example!$AC$7:$AC$506,"&gt;0")/E10)</f>
        <v>0.5</v>
      </c>
      <c r="G10" s="34" t="n">
        <f aca="false">IF(D10="","",SUMIFS(Example!$AC$7:$AC$506,Example!$U$7:$U$506,"Closed",Example!$C$7:$C$506,D10))</f>
        <v>10.9999999999999</v>
      </c>
      <c r="H10" s="35" t="n">
        <f aca="false">IF(COUNTIFS(Example!$U$7:$U$506,"Closed",Example!$C$7:$C$506,D10,Example!$Z$7:$Z$506,"&gt;0")=0,"",SUMIFS(Example!$AD$7:$AD$506,Example!$U$7:$U$506,"Closed",Example!$C$7:$C$506,D10,Example!$Z$7:$Z$506,"&gt;0")/COUNTIFS(Example!$U$7:$U$506,"Closed",Example!$C$7:$C$506,D10,Example!$Z$7:$Z$506,"&gt;0"))</f>
        <v>0.0274999999999996</v>
      </c>
      <c r="I10" s="36" t="n">
        <f aca="false">IF(N(E10)=0,"",AVERAGEIFS(Example!$V$7:$V$506,Example!$U$7:$U$506,"Closed",Example!$C$7:$C$506,D10))</f>
        <v>3</v>
      </c>
      <c r="J10" s="32" t="n">
        <f aca="false">IF(D10="","",COUNTIFS(Example!$U$7:$U$506,"Open",Example!$C$7:$C$506,D10))</f>
        <v>0</v>
      </c>
      <c r="L10" s="0" t="n">
        <v>5</v>
      </c>
      <c r="M10" s="37" t="n">
        <f aca="false">IF(L10&gt;$B$6,"",INDEX(Example!$P$7:$P$506,MATCH(L10,Example!$AI$7:$AI$506,0)))</f>
        <v>46227</v>
      </c>
      <c r="N10" s="0" t="str">
        <f aca="false">IF(L10&gt;$B$6,"",INDEX(Example!$A$7:$A$506,MATCH(L10,Example!$AI$7:$AI$506,0)))</f>
        <v>TKR-D</v>
      </c>
      <c r="O10" s="34" t="n">
        <f aca="false">IF(L10&gt;$B$6,"",INDEX(Example!$AC$7:$AC$506,MATCH(L10,Example!$AI$7:$AI$506,0)))</f>
        <v>-590</v>
      </c>
      <c r="P10" s="35" t="n">
        <f aca="false">IF(L10&gt;$B$6,"",INDEX(Example!$AD$7:$AD$506,MATCH(L10,Example!$AI$7:$AI$506,0)))</f>
        <v>-3.07291666666666</v>
      </c>
      <c r="Q10" s="34" t="n">
        <f aca="false">IF(L10&gt;$B$6,Q9,Q9+O10)</f>
        <v>19702</v>
      </c>
      <c r="R10" s="34" t="n">
        <f aca="false">IF(L10&gt;$B$6,"",Q10-MAX($Q$5:Q10))</f>
        <v>-802</v>
      </c>
    </row>
    <row r="11" customFormat="false" ht="15" hidden="false" customHeight="false" outlineLevel="0" collapsed="false">
      <c r="A11" s="30" t="s">
        <v>92</v>
      </c>
      <c r="B11" s="40" t="n">
        <f aca="false">SUM(Example!$AC$7:$AC$506)</f>
        <v>2057.5</v>
      </c>
      <c r="D11" s="0" t="str">
        <f aca="false">IF(Lists!A11="","",Lists!A11)</f>
        <v>Failed breakout</v>
      </c>
      <c r="E11" s="32" t="n">
        <f aca="false">IF(D11="","",COUNTIFS(Example!$U$7:$U$506,"Closed",Example!$C$7:$C$506,D11))</f>
        <v>3</v>
      </c>
      <c r="F11" s="33" t="n">
        <f aca="false">IF(N(E11)=0,"",COUNTIFS(Example!$U$7:$U$506,"Closed",Example!$C$7:$C$506,D11,Example!$AC$7:$AC$506,"&gt;0")/E11)</f>
        <v>0.666666666666667</v>
      </c>
      <c r="G11" s="34" t="n">
        <f aca="false">IF(D11="","",SUMIFS(Example!$AC$7:$AC$506,Example!$U$7:$U$506,"Closed",Example!$C$7:$C$506,D11))</f>
        <v>328</v>
      </c>
      <c r="H11" s="35" t="n">
        <f aca="false">IF(COUNTIFS(Example!$U$7:$U$506,"Closed",Example!$C$7:$C$506,D11,Example!$Z$7:$Z$506,"&gt;0")=0,"",SUMIFS(Example!$AD$7:$AD$506,Example!$U$7:$U$506,"Closed",Example!$C$7:$C$506,D11,Example!$Z$7:$Z$506,"&gt;0")/COUNTIFS(Example!$U$7:$U$506,"Closed",Example!$C$7:$C$506,D11,Example!$Z$7:$Z$506,"&gt;0"))</f>
        <v>0.552905982905983</v>
      </c>
      <c r="I11" s="36" t="n">
        <f aca="false">IF(N(E11)=0,"",AVERAGEIFS(Example!$V$7:$V$506,Example!$U$7:$U$506,"Closed",Example!$C$7:$C$506,D11))</f>
        <v>3.33333333333333</v>
      </c>
      <c r="J11" s="32" t="n">
        <f aca="false">IF(D11="","",COUNTIFS(Example!$U$7:$U$506,"Open",Example!$C$7:$C$506,D11))</f>
        <v>1</v>
      </c>
      <c r="L11" s="0" t="n">
        <v>6</v>
      </c>
      <c r="M11" s="37" t="n">
        <f aca="false">IF(L11&gt;$B$6,"",INDEX(Example!$P$7:$P$506,MATCH(L11,Example!$AI$7:$AI$506,0)))</f>
        <v>46234</v>
      </c>
      <c r="N11" s="0" t="str">
        <f aca="false">IF(L11&gt;$B$6,"",INDEX(Example!$A$7:$A$506,MATCH(L11,Example!$AI$7:$AI$506,0)))</f>
        <v>TKR-E</v>
      </c>
      <c r="O11" s="34" t="n">
        <f aca="false">IF(L11&gt;$B$6,"",INDEX(Example!$AC$7:$AC$506,MATCH(L11,Example!$AI$7:$AI$506,0)))</f>
        <v>381.5</v>
      </c>
      <c r="P11" s="35" t="n">
        <f aca="false">IF(L11&gt;$B$6,"",INDEX(Example!$AD$7:$AD$506,MATCH(L11,Example!$AI$7:$AI$506,0)))</f>
        <v>1.9075</v>
      </c>
      <c r="Q11" s="34" t="n">
        <f aca="false">IF(L11&gt;$B$6,Q10,Q10+O11)</f>
        <v>20083.5</v>
      </c>
      <c r="R11" s="34" t="n">
        <f aca="false">IF(L11&gt;$B$6,"",Q11-MAX($Q$5:Q11))</f>
        <v>-420.5</v>
      </c>
    </row>
    <row r="12" customFormat="false" ht="15" hidden="false" customHeight="false" outlineLevel="0" collapsed="false">
      <c r="A12" s="30" t="s">
        <v>93</v>
      </c>
      <c r="B12" s="31" t="n">
        <f aca="false">SUMIFS(Example!$R$7:$R$506,Example!$U$7:$U$506,"Closed")</f>
        <v>47</v>
      </c>
      <c r="D12" s="0" t="str">
        <f aca="false">IF(Lists!A12="","",Lists!A12)</f>
        <v>Other</v>
      </c>
      <c r="E12" s="32" t="n">
        <f aca="false">IF(D12="","",COUNTIFS(Example!$U$7:$U$506,"Closed",Example!$C$7:$C$506,D12))</f>
        <v>0</v>
      </c>
      <c r="F12" s="33" t="str">
        <f aca="false">IF(N(E12)=0,"",COUNTIFS(Example!$U$7:$U$506,"Closed",Example!$C$7:$C$506,D12,Example!$AC$7:$AC$506,"&gt;0")/E12)</f>
        <v/>
      </c>
      <c r="G12" s="34" t="n">
        <f aca="false">IF(D12="","",SUMIFS(Example!$AC$7:$AC$506,Example!$U$7:$U$506,"Closed",Example!$C$7:$C$506,D12))</f>
        <v>0</v>
      </c>
      <c r="H12" s="35" t="str">
        <f aca="false">IF(COUNTIFS(Example!$U$7:$U$506,"Closed",Example!$C$7:$C$506,D12,Example!$Z$7:$Z$506,"&gt;0")=0,"",SUMIFS(Example!$AD$7:$AD$506,Example!$U$7:$U$506,"Closed",Example!$C$7:$C$506,D12,Example!$Z$7:$Z$506,"&gt;0")/COUNTIFS(Example!$U$7:$U$506,"Closed",Example!$C$7:$C$506,D12,Example!$Z$7:$Z$506,"&gt;0"))</f>
        <v/>
      </c>
      <c r="I12" s="36" t="str">
        <f aca="false">IF(N(E12)=0,"",AVERAGEIFS(Example!$V$7:$V$506,Example!$U$7:$U$506,"Closed",Example!$C$7:$C$506,D12))</f>
        <v/>
      </c>
      <c r="J12" s="32" t="n">
        <f aca="false">IF(D12="","",COUNTIFS(Example!$U$7:$U$506,"Open",Example!$C$7:$C$506,D12))</f>
        <v>0</v>
      </c>
      <c r="L12" s="0" t="n">
        <v>7</v>
      </c>
      <c r="M12" s="37" t="n">
        <f aca="false">IF(L12&gt;$B$6,"",INDEX(Example!$P$7:$P$506,MATCH(L12,Example!$AI$7:$AI$506,0)))</f>
        <v>46238</v>
      </c>
      <c r="N12" s="0" t="str">
        <f aca="false">IF(L12&gt;$B$6,"",INDEX(Example!$A$7:$A$506,MATCH(L12,Example!$AI$7:$AI$506,0)))</f>
        <v>TKR-A</v>
      </c>
      <c r="O12" s="34" t="n">
        <f aca="false">IF(L12&gt;$B$6,"",INDEX(Example!$AC$7:$AC$506,MATCH(L12,Example!$AI$7:$AI$506,0)))</f>
        <v>158</v>
      </c>
      <c r="P12" s="35" t="n">
        <f aca="false">IF(L12&gt;$B$6,"",INDEX(Example!$AD$7:$AD$506,MATCH(L12,Example!$AI$7:$AI$506,0)))</f>
        <v>0.790000000000001</v>
      </c>
      <c r="Q12" s="34" t="n">
        <f aca="false">IF(L12&gt;$B$6,Q11,Q11+O12)</f>
        <v>20241.5</v>
      </c>
      <c r="R12" s="34" t="n">
        <f aca="false">IF(L12&gt;$B$6,"",Q12-MAX($Q$5:Q12))</f>
        <v>-262.5</v>
      </c>
    </row>
    <row r="13" customFormat="false" ht="15" hidden="false" customHeight="false" outlineLevel="0" collapsed="false">
      <c r="A13" s="30" t="s">
        <v>94</v>
      </c>
      <c r="B13" s="31" t="n">
        <f aca="false">IF(B8=0,"",AVERAGEIF(Example!$AC$7:$AC$506,"&gt;0"))</f>
        <v>275.633333333333</v>
      </c>
      <c r="D13" s="0" t="str">
        <f aca="false">IF(Lists!A13="","",Lists!A13)</f>
        <v/>
      </c>
      <c r="E13" s="32" t="str">
        <f aca="false">IF(D13="","",COUNTIFS(Example!$U$7:$U$506,"Closed",Example!$C$7:$C$506,D13))</f>
        <v/>
      </c>
      <c r="F13" s="33" t="str">
        <f aca="false">IF(N(E13)=0,"",COUNTIFS(Example!$U$7:$U$506,"Closed",Example!$C$7:$C$506,D13,Example!$AC$7:$AC$506,"&gt;0")/E13)</f>
        <v/>
      </c>
      <c r="G13" s="34" t="str">
        <f aca="false">IF(D13="","",SUMIFS(Example!$AC$7:$AC$506,Example!$U$7:$U$506,"Closed",Example!$C$7:$C$506,D13))</f>
        <v/>
      </c>
      <c r="H13" s="35" t="str">
        <f aca="false">IF(COUNTIFS(Example!$U$7:$U$506,"Closed",Example!$C$7:$C$506,D13,Example!$Z$7:$Z$506,"&gt;0")=0,"",SUMIFS(Example!$AD$7:$AD$506,Example!$U$7:$U$506,"Closed",Example!$C$7:$C$506,D13,Example!$Z$7:$Z$506,"&gt;0")/COUNTIFS(Example!$U$7:$U$506,"Closed",Example!$C$7:$C$506,D13,Example!$Z$7:$Z$506,"&gt;0"))</f>
        <v/>
      </c>
      <c r="I13" s="36" t="str">
        <f aca="false">IF(N(E13)=0,"",AVERAGEIFS(Example!$V$7:$V$506,Example!$U$7:$U$506,"Closed",Example!$C$7:$C$506,D13))</f>
        <v/>
      </c>
      <c r="J13" s="32" t="str">
        <f aca="false">IF(D13="","",COUNTIFS(Example!$U$7:$U$506,"Open",Example!$C$7:$C$506,D13))</f>
        <v/>
      </c>
      <c r="L13" s="0" t="n">
        <v>8</v>
      </c>
      <c r="M13" s="37" t="n">
        <f aca="false">IF(L13&gt;$B$6,"",INDEX(Example!$P$7:$P$506,MATCH(L13,Example!$AI$7:$AI$506,0)))</f>
        <v>46241</v>
      </c>
      <c r="N13" s="0" t="str">
        <f aca="false">IF(L13&gt;$B$6,"",INDEX(Example!$A$7:$A$506,MATCH(L13,Example!$AI$7:$AI$506,0)))</f>
        <v>TKR-G</v>
      </c>
      <c r="O13" s="34" t="n">
        <f aca="false">IF(L13&gt;$B$6,"",INDEX(Example!$AC$7:$AC$506,MATCH(L13,Example!$AI$7:$AI$506,0)))</f>
        <v>223</v>
      </c>
      <c r="P13" s="35" t="n">
        <f aca="false">IF(L13&gt;$B$6,"",INDEX(Example!$AD$7:$AD$506,MATCH(L13,Example!$AI$7:$AI$506,0)))</f>
        <v>1.115</v>
      </c>
      <c r="Q13" s="34" t="n">
        <f aca="false">IF(L13&gt;$B$6,Q12,Q12+O13)</f>
        <v>20464.5</v>
      </c>
      <c r="R13" s="34" t="n">
        <f aca="false">IF(L13&gt;$B$6,"",Q13-MAX($Q$5:Q13))</f>
        <v>-39.5</v>
      </c>
    </row>
    <row r="14" customFormat="false" ht="15" hidden="false" customHeight="false" outlineLevel="0" collapsed="false">
      <c r="A14" s="30" t="s">
        <v>95</v>
      </c>
      <c r="B14" s="40" t="n">
        <f aca="false">IF(B9=0,"",AVERAGEIF(Example!$AC$7:$AC$506,"&lt;0"))</f>
        <v>-259.625</v>
      </c>
      <c r="D14" s="0" t="str">
        <f aca="false">IF(Lists!A14="","",Lists!A14)</f>
        <v/>
      </c>
      <c r="E14" s="32" t="str">
        <f aca="false">IF(D14="","",COUNTIFS(Example!$U$7:$U$506,"Closed",Example!$C$7:$C$506,D14))</f>
        <v/>
      </c>
      <c r="F14" s="33" t="str">
        <f aca="false">IF(N(E14)=0,"",COUNTIFS(Example!$U$7:$U$506,"Closed",Example!$C$7:$C$506,D14,Example!$AC$7:$AC$506,"&gt;0")/E14)</f>
        <v/>
      </c>
      <c r="G14" s="34" t="str">
        <f aca="false">IF(D14="","",SUMIFS(Example!$AC$7:$AC$506,Example!$U$7:$U$506,"Closed",Example!$C$7:$C$506,D14))</f>
        <v/>
      </c>
      <c r="H14" s="35" t="str">
        <f aca="false">IF(COUNTIFS(Example!$U$7:$U$506,"Closed",Example!$C$7:$C$506,D14,Example!$Z$7:$Z$506,"&gt;0")=0,"",SUMIFS(Example!$AD$7:$AD$506,Example!$U$7:$U$506,"Closed",Example!$C$7:$C$506,D14,Example!$Z$7:$Z$506,"&gt;0")/COUNTIFS(Example!$U$7:$U$506,"Closed",Example!$C$7:$C$506,D14,Example!$Z$7:$Z$506,"&gt;0"))</f>
        <v/>
      </c>
      <c r="I14" s="36" t="str">
        <f aca="false">IF(N(E14)=0,"",AVERAGEIFS(Example!$V$7:$V$506,Example!$U$7:$U$506,"Closed",Example!$C$7:$C$506,D14))</f>
        <v/>
      </c>
      <c r="J14" s="32" t="str">
        <f aca="false">IF(D14="","",COUNTIFS(Example!$U$7:$U$506,"Open",Example!$C$7:$C$506,D14))</f>
        <v/>
      </c>
      <c r="L14" s="0" t="n">
        <v>9</v>
      </c>
      <c r="M14" s="37" t="n">
        <f aca="false">IF(L14&gt;$B$6,"",INDEX(Example!$P$7:$P$506,MATCH(L14,Example!$AI$7:$AI$506,0)))</f>
        <v>46247</v>
      </c>
      <c r="N14" s="0" t="str">
        <f aca="false">IF(L14&gt;$B$6,"",INDEX(Example!$A$7:$A$506,MATCH(L14,Example!$AI$7:$AI$506,0)))</f>
        <v>TKR-B</v>
      </c>
      <c r="O14" s="34" t="n">
        <f aca="false">IF(L14&gt;$B$6,"",INDEX(Example!$AC$7:$AC$506,MATCH(L14,Example!$AI$7:$AI$506,0)))</f>
        <v>148</v>
      </c>
      <c r="P14" s="35" t="n">
        <f aca="false">IF(L14&gt;$B$6,"",INDEX(Example!$AD$7:$AD$506,MATCH(L14,Example!$AI$7:$AI$506,0)))</f>
        <v>0.74</v>
      </c>
      <c r="Q14" s="34" t="n">
        <f aca="false">IF(L14&gt;$B$6,Q13,Q13+O14)</f>
        <v>20612.5</v>
      </c>
      <c r="R14" s="34" t="n">
        <f aca="false">IF(L14&gt;$B$6,"",Q14-MAX($Q$5:Q14))</f>
        <v>0</v>
      </c>
    </row>
    <row r="15" customFormat="false" ht="15" hidden="false" customHeight="false" outlineLevel="0" collapsed="false">
      <c r="A15" s="30" t="s">
        <v>96</v>
      </c>
      <c r="B15" s="41" t="n">
        <f aca="false">IF(OR(B13="",B14=""),"",B13/ABS(B14))</f>
        <v>1.06165944471192</v>
      </c>
      <c r="D15" s="0" t="str">
        <f aca="false">IF(Lists!A15="","",Lists!A15)</f>
        <v/>
      </c>
      <c r="E15" s="32" t="str">
        <f aca="false">IF(D15="","",COUNTIFS(Example!$U$7:$U$506,"Closed",Example!$C$7:$C$506,D15))</f>
        <v/>
      </c>
      <c r="F15" s="33" t="str">
        <f aca="false">IF(N(E15)=0,"",COUNTIFS(Example!$U$7:$U$506,"Closed",Example!$C$7:$C$506,D15,Example!$AC$7:$AC$506,"&gt;0")/E15)</f>
        <v/>
      </c>
      <c r="G15" s="34" t="str">
        <f aca="false">IF(D15="","",SUMIFS(Example!$AC$7:$AC$506,Example!$U$7:$U$506,"Closed",Example!$C$7:$C$506,D15))</f>
        <v/>
      </c>
      <c r="H15" s="35" t="str">
        <f aca="false">IF(COUNTIFS(Example!$U$7:$U$506,"Closed",Example!$C$7:$C$506,D15,Example!$Z$7:$Z$506,"&gt;0")=0,"",SUMIFS(Example!$AD$7:$AD$506,Example!$U$7:$U$506,"Closed",Example!$C$7:$C$506,D15,Example!$Z$7:$Z$506,"&gt;0")/COUNTIFS(Example!$U$7:$U$506,"Closed",Example!$C$7:$C$506,D15,Example!$Z$7:$Z$506,"&gt;0"))</f>
        <v/>
      </c>
      <c r="I15" s="36" t="str">
        <f aca="false">IF(N(E15)=0,"",AVERAGEIFS(Example!$V$7:$V$506,Example!$U$7:$U$506,"Closed",Example!$C$7:$C$506,D15))</f>
        <v/>
      </c>
      <c r="J15" s="32" t="str">
        <f aca="false">IF(D15="","",COUNTIFS(Example!$U$7:$U$506,"Open",Example!$C$7:$C$506,D15))</f>
        <v/>
      </c>
      <c r="L15" s="0" t="n">
        <v>10</v>
      </c>
      <c r="M15" s="37" t="n">
        <f aca="false">IF(L15&gt;$B$6,"",INDEX(Example!$P$7:$P$506,MATCH(L15,Example!$AI$7:$AI$506,0)))</f>
        <v>46248</v>
      </c>
      <c r="N15" s="0" t="str">
        <f aca="false">IF(L15&gt;$B$6,"",INDEX(Example!$A$7:$A$506,MATCH(L15,Example!$AI$7:$AI$506,0)))</f>
        <v>TKR-C</v>
      </c>
      <c r="O15" s="34" t="n">
        <f aca="false">IF(L15&gt;$B$6,"",INDEX(Example!$AC$7:$AC$506,MATCH(L15,Example!$AI$7:$AI$506,0)))</f>
        <v>-212</v>
      </c>
      <c r="P15" s="35" t="n">
        <f aca="false">IF(L15&gt;$B$6,"",INDEX(Example!$AD$7:$AD$506,MATCH(L15,Example!$AI$7:$AI$506,0)))</f>
        <v>-1.08717948717949</v>
      </c>
      <c r="Q15" s="34" t="n">
        <f aca="false">IF(L15&gt;$B$6,Q14,Q14+O15)</f>
        <v>20400.5</v>
      </c>
      <c r="R15" s="34" t="n">
        <f aca="false">IF(L15&gt;$B$6,"",Q15-MAX($Q$5:Q15))</f>
        <v>-212</v>
      </c>
    </row>
    <row r="16" customFormat="false" ht="15" hidden="false" customHeight="false" outlineLevel="0" collapsed="false">
      <c r="A16" s="30" t="s">
        <v>97</v>
      </c>
      <c r="B16" s="41" t="n">
        <f aca="false">IF(B9=0,"",SUMIF(Example!$AC$7:$AC$506,"&gt;0")/ABS(SUMIF(Example!$AC$7:$AC$506,"&lt;0")))</f>
        <v>1.99061145883486</v>
      </c>
      <c r="D16" s="0" t="str">
        <f aca="false">IF(Lists!A16="","",Lists!A16)</f>
        <v/>
      </c>
      <c r="E16" s="32" t="str">
        <f aca="false">IF(D16="","",COUNTIFS(Example!$U$7:$U$506,"Closed",Example!$C$7:$C$506,D16))</f>
        <v/>
      </c>
      <c r="F16" s="33" t="str">
        <f aca="false">IF(N(E16)=0,"",COUNTIFS(Example!$U$7:$U$506,"Closed",Example!$C$7:$C$506,D16,Example!$AC$7:$AC$506,"&gt;0")/E16)</f>
        <v/>
      </c>
      <c r="G16" s="34" t="str">
        <f aca="false">IF(D16="","",SUMIFS(Example!$AC$7:$AC$506,Example!$U$7:$U$506,"Closed",Example!$C$7:$C$506,D16))</f>
        <v/>
      </c>
      <c r="H16" s="35" t="str">
        <f aca="false">IF(COUNTIFS(Example!$U$7:$U$506,"Closed",Example!$C$7:$C$506,D16,Example!$Z$7:$Z$506,"&gt;0")=0,"",SUMIFS(Example!$AD$7:$AD$506,Example!$U$7:$U$506,"Closed",Example!$C$7:$C$506,D16,Example!$Z$7:$Z$506,"&gt;0")/COUNTIFS(Example!$U$7:$U$506,"Closed",Example!$C$7:$C$506,D16,Example!$Z$7:$Z$506,"&gt;0"))</f>
        <v/>
      </c>
      <c r="I16" s="36" t="str">
        <f aca="false">IF(N(E16)=0,"",AVERAGEIFS(Example!$V$7:$V$506,Example!$U$7:$U$506,"Closed",Example!$C$7:$C$506,D16))</f>
        <v/>
      </c>
      <c r="J16" s="32" t="str">
        <f aca="false">IF(D16="","",COUNTIFS(Example!$U$7:$U$506,"Open",Example!$C$7:$C$506,D16))</f>
        <v/>
      </c>
      <c r="L16" s="0" t="n">
        <v>11</v>
      </c>
      <c r="M16" s="37" t="n">
        <f aca="false">IF(L16&gt;$B$6,"",INDEX(Example!$P$7:$P$506,MATCH(L16,Example!$AI$7:$AI$506,0)))</f>
        <v>46255</v>
      </c>
      <c r="N16" s="0" t="str">
        <f aca="false">IF(L16&gt;$B$6,"",INDEX(Example!$A$7:$A$506,MATCH(L16,Example!$AI$7:$AI$506,0)))</f>
        <v>TKR-H</v>
      </c>
      <c r="O16" s="34" t="n">
        <f aca="false">IF(L16&gt;$B$6,"",INDEX(Example!$AC$7:$AC$506,MATCH(L16,Example!$AI$7:$AI$506,0)))</f>
        <v>382.5</v>
      </c>
      <c r="P16" s="35" t="n">
        <f aca="false">IF(L16&gt;$B$6,"",INDEX(Example!$AD$7:$AD$506,MATCH(L16,Example!$AI$7:$AI$506,0)))</f>
        <v>1.9125</v>
      </c>
      <c r="Q16" s="34" t="n">
        <f aca="false">IF(L16&gt;$B$6,Q15,Q15+O16)</f>
        <v>20783</v>
      </c>
      <c r="R16" s="34" t="n">
        <f aca="false">IF(L16&gt;$B$6,"",Q16-MAX($Q$5:Q16))</f>
        <v>0</v>
      </c>
    </row>
    <row r="17" customFormat="false" ht="15" hidden="false" customHeight="false" outlineLevel="0" collapsed="false">
      <c r="A17" s="30" t="s">
        <v>98</v>
      </c>
      <c r="B17" s="38" t="n">
        <f aca="false">COUNTIFS(Example!$U$7:$U$506,"Closed",Example!$Z$7:$Z$506,"&gt;0")</f>
        <v>23</v>
      </c>
      <c r="L17" s="0" t="n">
        <v>12</v>
      </c>
      <c r="M17" s="37" t="n">
        <f aca="false">IF(L17&gt;$B$6,"",INDEX(Example!$P$7:$P$506,MATCH(L17,Example!$AI$7:$AI$506,0)))</f>
        <v>46261</v>
      </c>
      <c r="N17" s="0" t="str">
        <f aca="false">IF(L17&gt;$B$6,"",INDEX(Example!$A$7:$A$506,MATCH(L17,Example!$AI$7:$AI$506,0)))</f>
        <v>TKR-E</v>
      </c>
      <c r="O17" s="34" t="n">
        <f aca="false">IF(L17&gt;$B$6,"",INDEX(Example!$AC$7:$AC$506,MATCH(L17,Example!$AI$7:$AI$506,0)))</f>
        <v>-210</v>
      </c>
      <c r="P17" s="35" t="n">
        <f aca="false">IF(L17&gt;$B$6,"",INDEX(Example!$AD$7:$AD$506,MATCH(L17,Example!$AI$7:$AI$506,0)))</f>
        <v>-1.05</v>
      </c>
      <c r="Q17" s="34" t="n">
        <f aca="false">IF(L17&gt;$B$6,Q16,Q16+O17)</f>
        <v>20573</v>
      </c>
      <c r="R17" s="34" t="n">
        <f aca="false">IF(L17&gt;$B$6,"",Q17-MAX($Q$5:Q17))</f>
        <v>-210</v>
      </c>
    </row>
    <row r="18" customFormat="false" ht="15" hidden="false" customHeight="false" outlineLevel="0" collapsed="false">
      <c r="A18" s="30" t="s">
        <v>99</v>
      </c>
      <c r="B18" s="42" t="n">
        <f aca="false">IF(B17=0,"",SUMIFS(Example!$AD$7:$AD$506,Example!$U$7:$U$506,"Closed",Example!$Z$7:$Z$506,"&gt;0")/B17)</f>
        <v>0.440388795986622</v>
      </c>
      <c r="L18" s="0" t="n">
        <v>13</v>
      </c>
      <c r="M18" s="37" t="n">
        <f aca="false">IF(L18&gt;$B$6,"",INDEX(Example!$P$7:$P$506,MATCH(L18,Example!$AI$7:$AI$506,0)))</f>
        <v>46262</v>
      </c>
      <c r="N18" s="0" t="str">
        <f aca="false">IF(L18&gt;$B$6,"",INDEX(Example!$A$7:$A$506,MATCH(L18,Example!$AI$7:$AI$506,0)))</f>
        <v>TKR-D</v>
      </c>
      <c r="O18" s="34" t="n">
        <f aca="false">IF(L18&gt;$B$6,"",INDEX(Example!$AC$7:$AC$506,MATCH(L18,Example!$AI$7:$AI$506,0)))</f>
        <v>363</v>
      </c>
      <c r="P18" s="35" t="n">
        <f aca="false">IF(L18&gt;$B$6,"",INDEX(Example!$AD$7:$AD$506,MATCH(L18,Example!$AI$7:$AI$506,0)))</f>
        <v>1.815</v>
      </c>
      <c r="Q18" s="34" t="n">
        <f aca="false">IF(L18&gt;$B$6,Q17,Q17+O18)</f>
        <v>20936</v>
      </c>
      <c r="R18" s="34" t="n">
        <f aca="false">IF(L18&gt;$B$6,"",Q18-MAX($Q$5:Q18))</f>
        <v>0</v>
      </c>
    </row>
    <row r="19" customFormat="false" ht="15" hidden="false" customHeight="false" outlineLevel="0" collapsed="false">
      <c r="A19" s="30" t="s">
        <v>100</v>
      </c>
      <c r="B19" s="42" t="n">
        <f aca="false">IF(COUNTIFS(Example!$U$7:$U$506,"Closed",Example!$Z$7:$Z$506,"&gt;0",Example!$AC$7:$AC$506,"&gt;0")=0,"",AVERAGEIFS(Example!$AD$7:$AD$506,Example!$U$7:$U$506,"Closed",Example!$Z$7:$Z$506,"&gt;0",Example!$AC$7:$AC$506,"&gt;0"))</f>
        <v>1.3812264957265</v>
      </c>
      <c r="D19" s="6" t="s">
        <v>101</v>
      </c>
      <c r="L19" s="0" t="n">
        <v>14</v>
      </c>
      <c r="M19" s="37" t="n">
        <f aca="false">IF(L19&gt;$B$6,"",INDEX(Example!$P$7:$P$506,MATCH(L19,Example!$AI$7:$AI$506,0)))</f>
        <v>46269</v>
      </c>
      <c r="N19" s="0" t="str">
        <f aca="false">IF(L19&gt;$B$6,"",INDEX(Example!$A$7:$A$506,MATCH(L19,Example!$AI$7:$AI$506,0)))</f>
        <v>TKR-F</v>
      </c>
      <c r="O19" s="34" t="n">
        <f aca="false">IF(L19&gt;$B$6,"",INDEX(Example!$AC$7:$AC$506,MATCH(L19,Example!$AI$7:$AI$506,0)))</f>
        <v>348</v>
      </c>
      <c r="P19" s="35" t="n">
        <f aca="false">IF(L19&gt;$B$6,"",INDEX(Example!$AD$7:$AD$506,MATCH(L19,Example!$AI$7:$AI$506,0)))</f>
        <v>1.74</v>
      </c>
      <c r="Q19" s="34" t="n">
        <f aca="false">IF(L19&gt;$B$6,Q18,Q18+O19)</f>
        <v>21284</v>
      </c>
      <c r="R19" s="34" t="n">
        <f aca="false">IF(L19&gt;$B$6,"",Q19-MAX($Q$5:Q19))</f>
        <v>0</v>
      </c>
    </row>
    <row r="20" customFormat="false" ht="15" hidden="false" customHeight="false" outlineLevel="0" collapsed="false">
      <c r="A20" s="30" t="s">
        <v>102</v>
      </c>
      <c r="B20" s="42" t="n">
        <f aca="false">IF(COUNTIFS(Example!$U$7:$U$506,"Closed",Example!$Z$7:$Z$506,"&gt;0",Example!$AC$7:$AC$506,"&lt;0")=0,"",AVERAGEIFS(Example!$AD$7:$AD$506,Example!$U$7:$U$506,"Closed",Example!$Z$7:$Z$506,"&gt;0",Example!$AC$7:$AC$506,"&lt;0"))</f>
        <v>-1.32368189102564</v>
      </c>
      <c r="D20" s="28" t="s">
        <v>103</v>
      </c>
      <c r="E20" s="28" t="s">
        <v>76</v>
      </c>
      <c r="F20" s="28" t="s">
        <v>104</v>
      </c>
      <c r="G20" s="28" t="s">
        <v>77</v>
      </c>
      <c r="H20" s="28" t="s">
        <v>78</v>
      </c>
      <c r="I20" s="28" t="s">
        <v>105</v>
      </c>
      <c r="J20" s="28" t="s">
        <v>79</v>
      </c>
      <c r="L20" s="0" t="n">
        <v>15</v>
      </c>
      <c r="M20" s="37" t="n">
        <f aca="false">IF(L20&gt;$B$6,"",INDEX(Example!$P$7:$P$506,MATCH(L20,Example!$AI$7:$AI$506,0)))</f>
        <v>46283</v>
      </c>
      <c r="N20" s="0" t="str">
        <f aca="false">IF(L20&gt;$B$6,"",INDEX(Example!$A$7:$A$506,MATCH(L20,Example!$AI$7:$AI$506,0)))</f>
        <v>TKR-G</v>
      </c>
      <c r="O20" s="34" t="n">
        <f aca="false">IF(L20&gt;$B$6,"",INDEX(Example!$AC$7:$AC$506,MATCH(L20,Example!$AI$7:$AI$506,0)))</f>
        <v>48</v>
      </c>
      <c r="P20" s="35" t="n">
        <f aca="false">IF(L20&gt;$B$6,"",INDEX(Example!$AD$7:$AD$506,MATCH(L20,Example!$AI$7:$AI$506,0)))</f>
        <v>0.24</v>
      </c>
      <c r="Q20" s="34" t="n">
        <f aca="false">IF(L20&gt;$B$6,Q19,Q19+O20)</f>
        <v>21332</v>
      </c>
      <c r="R20" s="34" t="n">
        <f aca="false">IF(L20&gt;$B$6,"",Q20-MAX($Q$5:Q20))</f>
        <v>0</v>
      </c>
    </row>
    <row r="21" customFormat="false" ht="15" hidden="false" customHeight="false" outlineLevel="0" collapsed="false">
      <c r="A21" s="30" t="s">
        <v>106</v>
      </c>
      <c r="B21" s="40" t="n">
        <f aca="false">IF(B6=0,"",B11/B6)</f>
        <v>89.4565217391305</v>
      </c>
      <c r="D21" s="43" t="n">
        <f aca="false">IF(COUNT(Example!$AH$7:$AH$506)=0,"",MIN(Example!$AH$7:$AH$506))</f>
        <v>46204</v>
      </c>
      <c r="E21" s="32" t="n">
        <f aca="false">IF(D21="","",COUNTIFS(Example!$AH$7:$AH$506,D21))</f>
        <v>6</v>
      </c>
      <c r="F21" s="32" t="n">
        <f aca="false">IF(D21="","",COUNTIFS(Example!$AH$7:$AH$506,D21,Example!$AC$7:$AC$506,"&gt;0"))</f>
        <v>3</v>
      </c>
      <c r="G21" s="33" t="n">
        <f aca="false">IF(N(E21)=0,"",F21/E21)</f>
        <v>0.5</v>
      </c>
      <c r="H21" s="34" t="n">
        <f aca="false">IF(D21="","",SUMIFS(Example!$AC$7:$AC$506,Example!$AH$7:$AH$506,D21))</f>
        <v>83.5000000000003</v>
      </c>
      <c r="I21" s="35" t="n">
        <f aca="false">IF(D21="","",SUMIFS(Example!$AD$7:$AD$506,Example!$AH$7:$AH$506,D21))</f>
        <v>0.31330128205129</v>
      </c>
      <c r="J21" s="35" t="n">
        <f aca="false">IF(COUNTIFS(Example!$AH$7:$AH$506,D21,Example!$Z$7:$Z$506,"&gt;0")=0,"",SUMIFS(Example!$AD$7:$AD$506,Example!$AH$7:$AH$506,D21,Example!$Z$7:$Z$506,"&gt;0")/COUNTIFS(Example!$AH$7:$AH$506,D21,Example!$Z$7:$Z$506,"&gt;0"))</f>
        <v>0.0522168803418817</v>
      </c>
      <c r="L21" s="0" t="n">
        <v>16</v>
      </c>
      <c r="M21" s="37" t="n">
        <f aca="false">IF(L21&gt;$B$6,"",INDEX(Example!$P$7:$P$506,MATCH(L21,Example!$AI$7:$AI$506,0)))</f>
        <v>46283</v>
      </c>
      <c r="N21" s="0" t="str">
        <f aca="false">IF(L21&gt;$B$6,"",INDEX(Example!$A$7:$A$506,MATCH(L21,Example!$AI$7:$AI$506,0)))</f>
        <v>TKR-H</v>
      </c>
      <c r="O21" s="34" t="n">
        <f aca="false">IF(L21&gt;$B$6,"",INDEX(Example!$AC$7:$AC$506,MATCH(L21,Example!$AI$7:$AI$506,0)))</f>
        <v>-212</v>
      </c>
      <c r="P21" s="35" t="n">
        <f aca="false">IF(L21&gt;$B$6,"",INDEX(Example!$AD$7:$AD$506,MATCH(L21,Example!$AI$7:$AI$506,0)))</f>
        <v>-1.06</v>
      </c>
      <c r="Q21" s="34" t="n">
        <f aca="false">IF(L21&gt;$B$6,Q20,Q20+O21)</f>
        <v>21120</v>
      </c>
      <c r="R21" s="34" t="n">
        <f aca="false">IF(L21&gt;$B$6,"",Q21-MAX($Q$5:Q21))</f>
        <v>-212</v>
      </c>
    </row>
    <row r="22" customFormat="false" ht="15" hidden="false" customHeight="false" outlineLevel="0" collapsed="false">
      <c r="A22" s="30" t="s">
        <v>107</v>
      </c>
      <c r="B22" s="40" t="n">
        <f aca="false">IF(B6=0,"",B8/B6*N(B13)+B9/B6*N(B14))</f>
        <v>89.4565217391305</v>
      </c>
      <c r="D22" s="43" t="n">
        <f aca="false">IF(D21="","",IF(EDATE(D21,1)&gt;MAX(Example!$AH$7:$AH$506),"",EDATE(D21,1)))</f>
        <v>46235</v>
      </c>
      <c r="E22" s="32" t="n">
        <f aca="false">IF(D22="","",COUNTIFS(Example!$AH$7:$AH$506,D22))</f>
        <v>7</v>
      </c>
      <c r="F22" s="32" t="n">
        <f aca="false">IF(D22="","",COUNTIFS(Example!$AH$7:$AH$506,D22,Example!$AC$7:$AC$506,"&gt;0"))</f>
        <v>5</v>
      </c>
      <c r="G22" s="33" t="n">
        <f aca="false">IF(N(E22)=0,"",F22/E22)</f>
        <v>0.714285714285714</v>
      </c>
      <c r="H22" s="34" t="n">
        <f aca="false">IF(D22="","",SUMIFS(Example!$AC$7:$AC$506,Example!$AH$7:$AH$506,D22))</f>
        <v>852.500000000001</v>
      </c>
      <c r="I22" s="35" t="n">
        <f aca="false">IF(D22="","",SUMIFS(Example!$AD$7:$AD$506,Example!$AH$7:$AH$506,D22))</f>
        <v>4.23532051282051</v>
      </c>
      <c r="J22" s="35" t="n">
        <f aca="false">IF(COUNTIFS(Example!$AH$7:$AH$506,D22,Example!$Z$7:$Z$506,"&gt;0")=0,"",SUMIFS(Example!$AD$7:$AD$506,Example!$AH$7:$AH$506,D22,Example!$Z$7:$Z$506,"&gt;0")/COUNTIFS(Example!$AH$7:$AH$506,D22,Example!$Z$7:$Z$506,"&gt;0"))</f>
        <v>0.605045787545788</v>
      </c>
      <c r="L22" s="0" t="n">
        <v>17</v>
      </c>
      <c r="M22" s="37" t="n">
        <f aca="false">IF(L22&gt;$B$6,"",INDEX(Example!$P$7:$P$506,MATCH(L22,Example!$AI$7:$AI$506,0)))</f>
        <v>46287</v>
      </c>
      <c r="N22" s="0" t="str">
        <f aca="false">IF(L22&gt;$B$6,"",INDEX(Example!$A$7:$A$506,MATCH(L22,Example!$AI$7:$AI$506,0)))</f>
        <v>TKR-A</v>
      </c>
      <c r="O22" s="34" t="n">
        <f aca="false">IF(L22&gt;$B$6,"",INDEX(Example!$AC$7:$AC$506,MATCH(L22,Example!$AI$7:$AI$506,0)))</f>
        <v>218</v>
      </c>
      <c r="P22" s="35" t="n">
        <f aca="false">IF(L22&gt;$B$6,"",INDEX(Example!$AD$7:$AD$506,MATCH(L22,Example!$AI$7:$AI$506,0)))</f>
        <v>1.09</v>
      </c>
      <c r="Q22" s="34" t="n">
        <f aca="false">IF(L22&gt;$B$6,Q21,Q21+O22)</f>
        <v>21338</v>
      </c>
      <c r="R22" s="34" t="n">
        <f aca="false">IF(L22&gt;$B$6,"",Q22-MAX($Q$5:Q22))</f>
        <v>0</v>
      </c>
    </row>
    <row r="23" customFormat="false" ht="15" hidden="false" customHeight="false" outlineLevel="0" collapsed="false">
      <c r="A23" s="30" t="s">
        <v>108</v>
      </c>
      <c r="B23" s="44" t="n">
        <f aca="false">IF(B6=0,"",AVERAGEIFS(Example!$V$7:$V$506,Example!$U$7:$U$506,"Closed"))</f>
        <v>5.47826086956522</v>
      </c>
      <c r="D23" s="43" t="n">
        <f aca="false">IF(D22="","",IF(EDATE(D22,1)&gt;MAX(Example!$AH$7:$AH$506),"",EDATE(D22,1)))</f>
        <v>46266</v>
      </c>
      <c r="E23" s="32" t="n">
        <f aca="false">IF(D23="","",COUNTIFS(Example!$AH$7:$AH$506,D23))</f>
        <v>5</v>
      </c>
      <c r="F23" s="32" t="n">
        <f aca="false">IF(D23="","",COUNTIFS(Example!$AH$7:$AH$506,D23,Example!$AC$7:$AC$506,"&gt;0"))</f>
        <v>3</v>
      </c>
      <c r="G23" s="33" t="n">
        <f aca="false">IF(N(E23)=0,"",F23/E23)</f>
        <v>0.6</v>
      </c>
      <c r="H23" s="34" t="n">
        <f aca="false">IF(D23="","",SUMIFS(Example!$AC$7:$AC$506,Example!$AH$7:$AH$506,D23))</f>
        <v>190</v>
      </c>
      <c r="I23" s="35" t="n">
        <f aca="false">IF(D23="","",SUMIFS(Example!$AD$7:$AD$506,Example!$AH$7:$AH$506,D23))</f>
        <v>0.922820512820509</v>
      </c>
      <c r="J23" s="35" t="n">
        <f aca="false">IF(COUNTIFS(Example!$AH$7:$AH$506,D23,Example!$Z$7:$Z$506,"&gt;0")=0,"",SUMIFS(Example!$AD$7:$AD$506,Example!$AH$7:$AH$506,D23,Example!$Z$7:$Z$506,"&gt;0")/COUNTIFS(Example!$AH$7:$AH$506,D23,Example!$Z$7:$Z$506,"&gt;0"))</f>
        <v>0.184564102564102</v>
      </c>
      <c r="L23" s="0" t="n">
        <v>18</v>
      </c>
      <c r="M23" s="37" t="n">
        <f aca="false">IF(L23&gt;$B$6,"",INDEX(Example!$P$7:$P$506,MATCH(L23,Example!$AI$7:$AI$506,0)))</f>
        <v>46290</v>
      </c>
      <c r="N23" s="0" t="str">
        <f aca="false">IF(L23&gt;$B$6,"",INDEX(Example!$A$7:$A$506,MATCH(L23,Example!$AI$7:$AI$506,0)))</f>
        <v>TKR-C</v>
      </c>
      <c r="O23" s="34" t="n">
        <f aca="false">IF(L23&gt;$B$6,"",INDEX(Example!$AC$7:$AC$506,MATCH(L23,Example!$AI$7:$AI$506,0)))</f>
        <v>-212</v>
      </c>
      <c r="P23" s="35" t="n">
        <f aca="false">IF(L23&gt;$B$6,"",INDEX(Example!$AD$7:$AD$506,MATCH(L23,Example!$AI$7:$AI$506,0)))</f>
        <v>-1.08717948717949</v>
      </c>
      <c r="Q23" s="34" t="n">
        <f aca="false">IF(L23&gt;$B$6,Q22,Q22+O23)</f>
        <v>21126</v>
      </c>
      <c r="R23" s="34" t="n">
        <f aca="false">IF(L23&gt;$B$6,"",Q23-MAX($Q$5:Q23))</f>
        <v>-212</v>
      </c>
    </row>
    <row r="24" customFormat="false" ht="15" hidden="false" customHeight="false" outlineLevel="0" collapsed="false">
      <c r="A24" s="30" t="s">
        <v>109</v>
      </c>
      <c r="B24" s="44" t="n">
        <f aca="false">IF(B8=0,"",AVERAGEIFS(Example!$V$7:$V$506,Example!$U$7:$U$506,"Closed",Example!$AC$7:$AC$506,"&gt;0"))</f>
        <v>6.73333333333333</v>
      </c>
      <c r="D24" s="43" t="n">
        <f aca="false">IF(D23="","",IF(EDATE(D23,1)&gt;MAX(Example!$AH$7:$AH$506),"",EDATE(D23,1)))</f>
        <v>46296</v>
      </c>
      <c r="E24" s="32" t="n">
        <f aca="false">IF(D24="","",COUNTIFS(Example!$AH$7:$AH$506,D24))</f>
        <v>5</v>
      </c>
      <c r="F24" s="32" t="n">
        <f aca="false">IF(D24="","",COUNTIFS(Example!$AH$7:$AH$506,D24,Example!$AC$7:$AC$506,"&gt;0"))</f>
        <v>4</v>
      </c>
      <c r="G24" s="33" t="n">
        <f aca="false">IF(N(E24)=0,"",F24/E24)</f>
        <v>0.8</v>
      </c>
      <c r="H24" s="34" t="n">
        <f aca="false">IF(D24="","",SUMIFS(Example!$AC$7:$AC$506,Example!$AH$7:$AH$506,D24))</f>
        <v>931.5</v>
      </c>
      <c r="I24" s="35" t="n">
        <f aca="false">IF(D24="","",SUMIFS(Example!$AD$7:$AD$506,Example!$AH$7:$AH$506,D24))</f>
        <v>4.6575</v>
      </c>
      <c r="J24" s="35" t="n">
        <f aca="false">IF(COUNTIFS(Example!$AH$7:$AH$506,D24,Example!$Z$7:$Z$506,"&gt;0")=0,"",SUMIFS(Example!$AD$7:$AD$506,Example!$AH$7:$AH$506,D24,Example!$Z$7:$Z$506,"&gt;0")/COUNTIFS(Example!$AH$7:$AH$506,D24,Example!$Z$7:$Z$506,"&gt;0"))</f>
        <v>0.931499999999999</v>
      </c>
      <c r="L24" s="0" t="n">
        <v>19</v>
      </c>
      <c r="M24" s="37" t="n">
        <f aca="false">IF(L24&gt;$B$6,"",INDEX(Example!$P$7:$P$506,MATCH(L24,Example!$AI$7:$AI$506,0)))</f>
        <v>46296</v>
      </c>
      <c r="N24" s="0" t="str">
        <f aca="false">IF(L24&gt;$B$6,"",INDEX(Example!$A$7:$A$506,MATCH(L24,Example!$AI$7:$AI$506,0)))</f>
        <v>TKR-B</v>
      </c>
      <c r="O24" s="34" t="n">
        <f aca="false">IF(L24&gt;$B$6,"",INDEX(Example!$AC$7:$AC$506,MATCH(L24,Example!$AI$7:$AI$506,0)))</f>
        <v>428</v>
      </c>
      <c r="P24" s="35" t="n">
        <f aca="false">IF(L24&gt;$B$6,"",INDEX(Example!$AD$7:$AD$506,MATCH(L24,Example!$AI$7:$AI$506,0)))</f>
        <v>2.14</v>
      </c>
      <c r="Q24" s="34" t="n">
        <f aca="false">IF(L24&gt;$B$6,Q23,Q23+O24)</f>
        <v>21554</v>
      </c>
      <c r="R24" s="34" t="n">
        <f aca="false">IF(L24&gt;$B$6,"",Q24-MAX($Q$5:Q24))</f>
        <v>0</v>
      </c>
    </row>
    <row r="25" customFormat="false" ht="15" hidden="false" customHeight="false" outlineLevel="0" collapsed="false">
      <c r="A25" s="30" t="s">
        <v>110</v>
      </c>
      <c r="B25" s="44" t="n">
        <f aca="false">IF(B9=0,"",AVERAGEIFS(Example!$V$7:$V$506,Example!$U$7:$U$506,"Closed",Example!$AC$7:$AC$506,"&lt;0"))</f>
        <v>3.125</v>
      </c>
      <c r="D25" s="43" t="str">
        <f aca="false">IF(D24="","",IF(EDATE(D24,1)&gt;MAX(Example!$AH$7:$AH$506),"",EDATE(D24,1)))</f>
        <v/>
      </c>
      <c r="E25" s="32" t="str">
        <f aca="false">IF(D25="","",COUNTIFS(Example!$AH$7:$AH$506,D25))</f>
        <v/>
      </c>
      <c r="F25" s="32" t="str">
        <f aca="false">IF(D25="","",COUNTIFS(Example!$AH$7:$AH$506,D25,Example!$AC$7:$AC$506,"&gt;0"))</f>
        <v/>
      </c>
      <c r="G25" s="33" t="str">
        <f aca="false">IF(N(E25)=0,"",F25/E25)</f>
        <v/>
      </c>
      <c r="H25" s="34" t="str">
        <f aca="false">IF(D25="","",SUMIFS(Example!$AC$7:$AC$506,Example!$AH$7:$AH$506,D25))</f>
        <v/>
      </c>
      <c r="I25" s="35" t="str">
        <f aca="false">IF(D25="","",SUMIFS(Example!$AD$7:$AD$506,Example!$AH$7:$AH$506,D25))</f>
        <v/>
      </c>
      <c r="J25" s="35" t="n">
        <f aca="false">IF(COUNTIFS(Example!$AH$7:$AH$506,D25,Example!$Z$7:$Z$506,"&gt;0")=0,"",SUMIFS(Example!$AD$7:$AD$506,Example!$AH$7:$AH$506,D25,Example!$Z$7:$Z$506,"&gt;0")/COUNTIFS(Example!$AH$7:$AH$506,D25,Example!$Z$7:$Z$506,"&gt;0"))</f>
        <v>0</v>
      </c>
      <c r="L25" s="0" t="n">
        <v>20</v>
      </c>
      <c r="M25" s="37" t="n">
        <f aca="false">IF(L25&gt;$B$6,"",INDEX(Example!$P$7:$P$506,MATCH(L25,Example!$AI$7:$AI$506,0)))</f>
        <v>46304</v>
      </c>
      <c r="N25" s="0" t="str">
        <f aca="false">IF(L25&gt;$B$6,"",INDEX(Example!$A$7:$A$506,MATCH(L25,Example!$AI$7:$AI$506,0)))</f>
        <v>TKR-D</v>
      </c>
      <c r="O25" s="34" t="n">
        <f aca="false">IF(L25&gt;$B$6,"",INDEX(Example!$AC$7:$AC$506,MATCH(L25,Example!$AI$7:$AI$506,0)))</f>
        <v>153</v>
      </c>
      <c r="P25" s="35" t="n">
        <f aca="false">IF(L25&gt;$B$6,"",INDEX(Example!$AD$7:$AD$506,MATCH(L25,Example!$AI$7:$AI$506,0)))</f>
        <v>0.764999999999999</v>
      </c>
      <c r="Q25" s="34" t="n">
        <f aca="false">IF(L25&gt;$B$6,Q24,Q24+O25)</f>
        <v>21707</v>
      </c>
      <c r="R25" s="34" t="n">
        <f aca="false">IF(L25&gt;$B$6,"",Q25-MAX($Q$5:Q25))</f>
        <v>0</v>
      </c>
    </row>
    <row r="26" customFormat="false" ht="15" hidden="false" customHeight="false" outlineLevel="0" collapsed="false">
      <c r="A26" s="30" t="s">
        <v>111</v>
      </c>
      <c r="B26" s="38" t="n">
        <f aca="false">COUNTIFS(Example!$U$7:$U$506,"Closed",Example!$V$7:$V$506,0)</f>
        <v>1</v>
      </c>
      <c r="D26" s="43" t="str">
        <f aca="false">IF(D25="","",IF(EDATE(D25,1)&gt;MAX(Example!$AH$7:$AH$506),"",EDATE(D25,1)))</f>
        <v/>
      </c>
      <c r="E26" s="32" t="str">
        <f aca="false">IF(D26="","",COUNTIFS(Example!$AH$7:$AH$506,D26))</f>
        <v/>
      </c>
      <c r="F26" s="32" t="str">
        <f aca="false">IF(D26="","",COUNTIFS(Example!$AH$7:$AH$506,D26,Example!$AC$7:$AC$506,"&gt;0"))</f>
        <v/>
      </c>
      <c r="G26" s="33" t="str">
        <f aca="false">IF(N(E26)=0,"",F26/E26)</f>
        <v/>
      </c>
      <c r="H26" s="34" t="str">
        <f aca="false">IF(D26="","",SUMIFS(Example!$AC$7:$AC$506,Example!$AH$7:$AH$506,D26))</f>
        <v/>
      </c>
      <c r="I26" s="35" t="str">
        <f aca="false">IF(D26="","",SUMIFS(Example!$AD$7:$AD$506,Example!$AH$7:$AH$506,D26))</f>
        <v/>
      </c>
      <c r="J26" s="35" t="n">
        <f aca="false">IF(COUNTIFS(Example!$AH$7:$AH$506,D26,Example!$Z$7:$Z$506,"&gt;0")=0,"",SUMIFS(Example!$AD$7:$AD$506,Example!$AH$7:$AH$506,D26,Example!$Z$7:$Z$506,"&gt;0")/COUNTIFS(Example!$AH$7:$AH$506,D26,Example!$Z$7:$Z$506,"&gt;0"))</f>
        <v>0</v>
      </c>
      <c r="L26" s="0" t="n">
        <v>21</v>
      </c>
      <c r="M26" s="37" t="n">
        <f aca="false">IF(L26&gt;$B$6,"",INDEX(Example!$P$7:$P$506,MATCH(L26,Example!$AI$7:$AI$506,0)))</f>
        <v>46304</v>
      </c>
      <c r="N26" s="0" t="str">
        <f aca="false">IF(L26&gt;$B$6,"",INDEX(Example!$A$7:$A$506,MATCH(L26,Example!$AI$7:$AI$506,0)))</f>
        <v>TKR-E</v>
      </c>
      <c r="O26" s="34" t="n">
        <f aca="false">IF(L26&gt;$B$6,"",INDEX(Example!$AC$7:$AC$506,MATCH(L26,Example!$AI$7:$AI$506,0)))</f>
        <v>182</v>
      </c>
      <c r="P26" s="35" t="n">
        <f aca="false">IF(L26&gt;$B$6,"",INDEX(Example!$AD$7:$AD$506,MATCH(L26,Example!$AI$7:$AI$506,0)))</f>
        <v>0.909999999999999</v>
      </c>
      <c r="Q26" s="34" t="n">
        <f aca="false">IF(L26&gt;$B$6,Q25,Q25+O26)</f>
        <v>21889</v>
      </c>
      <c r="R26" s="34" t="n">
        <f aca="false">IF(L26&gt;$B$6,"",Q26-MAX($Q$5:Q26))</f>
        <v>0</v>
      </c>
    </row>
    <row r="27" customFormat="false" ht="15" hidden="false" customHeight="false" outlineLevel="0" collapsed="false">
      <c r="A27" s="30" t="s">
        <v>112</v>
      </c>
      <c r="B27" s="38" t="n">
        <f aca="false">COUNTIFS(Example!$U$7:$U$506,"Closed",Example!$X$7:$X$506,"Yes")</f>
        <v>1</v>
      </c>
      <c r="D27" s="43" t="str">
        <f aca="false">IF(D26="","",IF(EDATE(D26,1)&gt;MAX(Example!$AH$7:$AH$506),"",EDATE(D26,1)))</f>
        <v/>
      </c>
      <c r="E27" s="32" t="str">
        <f aca="false">IF(D27="","",COUNTIFS(Example!$AH$7:$AH$506,D27))</f>
        <v/>
      </c>
      <c r="F27" s="32" t="str">
        <f aca="false">IF(D27="","",COUNTIFS(Example!$AH$7:$AH$506,D27,Example!$AC$7:$AC$506,"&gt;0"))</f>
        <v/>
      </c>
      <c r="G27" s="33" t="str">
        <f aca="false">IF(N(E27)=0,"",F27/E27)</f>
        <v/>
      </c>
      <c r="H27" s="34" t="str">
        <f aca="false">IF(D27="","",SUMIFS(Example!$AC$7:$AC$506,Example!$AH$7:$AH$506,D27))</f>
        <v/>
      </c>
      <c r="I27" s="35" t="str">
        <f aca="false">IF(D27="","",SUMIFS(Example!$AD$7:$AD$506,Example!$AH$7:$AH$506,D27))</f>
        <v/>
      </c>
      <c r="J27" s="35" t="n">
        <f aca="false">IF(COUNTIFS(Example!$AH$7:$AH$506,D27,Example!$Z$7:$Z$506,"&gt;0")=0,"",SUMIFS(Example!$AD$7:$AD$506,Example!$AH$7:$AH$506,D27,Example!$Z$7:$Z$506,"&gt;0")/COUNTIFS(Example!$AH$7:$AH$506,D27,Example!$Z$7:$Z$506,"&gt;0"))</f>
        <v>0</v>
      </c>
      <c r="L27" s="0" t="n">
        <v>22</v>
      </c>
      <c r="M27" s="37" t="n">
        <f aca="false">IF(L27&gt;$B$6,"",INDEX(Example!$P$7:$P$506,MATCH(L27,Example!$AI$7:$AI$506,0)))</f>
        <v>46311</v>
      </c>
      <c r="N27" s="0" t="str">
        <f aca="false">IF(L27&gt;$B$6,"",INDEX(Example!$A$7:$A$506,MATCH(L27,Example!$AI$7:$AI$506,0)))</f>
        <v>TKR-G</v>
      </c>
      <c r="O27" s="34" t="n">
        <f aca="false">IF(L27&gt;$B$6,"",INDEX(Example!$AC$7:$AC$506,MATCH(L27,Example!$AI$7:$AI$506,0)))</f>
        <v>-217</v>
      </c>
      <c r="P27" s="35" t="n">
        <f aca="false">IF(L27&gt;$B$6,"",INDEX(Example!$AD$7:$AD$506,MATCH(L27,Example!$AI$7:$AI$506,0)))</f>
        <v>-1.085</v>
      </c>
      <c r="Q27" s="34" t="n">
        <f aca="false">IF(L27&gt;$B$6,Q26,Q26+O27)</f>
        <v>21672</v>
      </c>
      <c r="R27" s="34" t="n">
        <f aca="false">IF(L27&gt;$B$6,"",Q27-MAX($Q$5:Q27))</f>
        <v>-217</v>
      </c>
    </row>
    <row r="28" customFormat="false" ht="15" hidden="false" customHeight="false" outlineLevel="0" collapsed="false">
      <c r="A28" s="30" t="s">
        <v>113</v>
      </c>
      <c r="B28" s="40" t="n">
        <f aca="false">SUMIFS(Example!$AC$7:$AC$506,Example!$U$7:$U$506,"Closed",Example!$X$7:$X$506,"Yes")</f>
        <v>-590</v>
      </c>
      <c r="D28" s="43" t="str">
        <f aca="false">IF(D27="","",IF(EDATE(D27,1)&gt;MAX(Example!$AH$7:$AH$506),"",EDATE(D27,1)))</f>
        <v/>
      </c>
      <c r="E28" s="32" t="str">
        <f aca="false">IF(D28="","",COUNTIFS(Example!$AH$7:$AH$506,D28))</f>
        <v/>
      </c>
      <c r="F28" s="32" t="str">
        <f aca="false">IF(D28="","",COUNTIFS(Example!$AH$7:$AH$506,D28,Example!$AC$7:$AC$506,"&gt;0"))</f>
        <v/>
      </c>
      <c r="G28" s="33" t="str">
        <f aca="false">IF(N(E28)=0,"",F28/E28)</f>
        <v/>
      </c>
      <c r="H28" s="34" t="str">
        <f aca="false">IF(D28="","",SUMIFS(Example!$AC$7:$AC$506,Example!$AH$7:$AH$506,D28))</f>
        <v/>
      </c>
      <c r="I28" s="35" t="str">
        <f aca="false">IF(D28="","",SUMIFS(Example!$AD$7:$AD$506,Example!$AH$7:$AH$506,D28))</f>
        <v/>
      </c>
      <c r="J28" s="35" t="n">
        <f aca="false">IF(COUNTIFS(Example!$AH$7:$AH$506,D28,Example!$Z$7:$Z$506,"&gt;0")=0,"",SUMIFS(Example!$AD$7:$AD$506,Example!$AH$7:$AH$506,D28,Example!$Z$7:$Z$506,"&gt;0")/COUNTIFS(Example!$AH$7:$AH$506,D28,Example!$Z$7:$Z$506,"&gt;0"))</f>
        <v>0</v>
      </c>
      <c r="L28" s="0" t="n">
        <v>23</v>
      </c>
      <c r="M28" s="37" t="n">
        <f aca="false">IF(L28&gt;$B$6,"",INDEX(Example!$P$7:$P$506,MATCH(L28,Example!$AI$7:$AI$506,0)))</f>
        <v>46318</v>
      </c>
      <c r="N28" s="0" t="str">
        <f aca="false">IF(L28&gt;$B$6,"",INDEX(Example!$A$7:$A$506,MATCH(L28,Example!$AI$7:$AI$506,0)))</f>
        <v>TKR-F</v>
      </c>
      <c r="O28" s="34" t="n">
        <f aca="false">IF(L28&gt;$B$6,"",INDEX(Example!$AC$7:$AC$506,MATCH(L28,Example!$AI$7:$AI$506,0)))</f>
        <v>385.5</v>
      </c>
      <c r="P28" s="35" t="n">
        <f aca="false">IF(L28&gt;$B$6,"",INDEX(Example!$AD$7:$AD$506,MATCH(L28,Example!$AI$7:$AI$506,0)))</f>
        <v>1.9275</v>
      </c>
      <c r="Q28" s="34" t="n">
        <f aca="false">IF(L28&gt;$B$6,Q27,Q27+O28)</f>
        <v>22057.5</v>
      </c>
      <c r="R28" s="34" t="n">
        <f aca="false">IF(L28&gt;$B$6,"",Q28-MAX($Q$5:Q28))</f>
        <v>0</v>
      </c>
    </row>
    <row r="29" customFormat="false" ht="15" hidden="false" customHeight="false" outlineLevel="0" collapsed="false">
      <c r="A29" s="30" t="s">
        <v>114</v>
      </c>
      <c r="B29" s="42" t="n">
        <f aca="false">IFERROR(AVERAGEIFS(Example!$AE$7:$AE$506,Example!$U$7:$U$506,"Closed"),"")</f>
        <v>-0.828076923076923</v>
      </c>
      <c r="D29" s="43" t="str">
        <f aca="false">IF(D28="","",IF(EDATE(D28,1)&gt;MAX(Example!$AH$7:$AH$506),"",EDATE(D28,1)))</f>
        <v/>
      </c>
      <c r="E29" s="32" t="str">
        <f aca="false">IF(D29="","",COUNTIFS(Example!$AH$7:$AH$506,D29))</f>
        <v/>
      </c>
      <c r="F29" s="32" t="str">
        <f aca="false">IF(D29="","",COUNTIFS(Example!$AH$7:$AH$506,D29,Example!$AC$7:$AC$506,"&gt;0"))</f>
        <v/>
      </c>
      <c r="G29" s="33" t="str">
        <f aca="false">IF(N(E29)=0,"",F29/E29)</f>
        <v/>
      </c>
      <c r="H29" s="34" t="str">
        <f aca="false">IF(D29="","",SUMIFS(Example!$AC$7:$AC$506,Example!$AH$7:$AH$506,D29))</f>
        <v/>
      </c>
      <c r="I29" s="35" t="str">
        <f aca="false">IF(D29="","",SUMIFS(Example!$AD$7:$AD$506,Example!$AH$7:$AH$506,D29))</f>
        <v/>
      </c>
      <c r="J29" s="35" t="n">
        <f aca="false">IF(COUNTIFS(Example!$AH$7:$AH$506,D29,Example!$Z$7:$Z$506,"&gt;0")=0,"",SUMIFS(Example!$AD$7:$AD$506,Example!$AH$7:$AH$506,D29,Example!$Z$7:$Z$506,"&gt;0")/COUNTIFS(Example!$AH$7:$AH$506,D29,Example!$Z$7:$Z$506,"&gt;0"))</f>
        <v>0</v>
      </c>
      <c r="L29" s="0" t="n">
        <v>24</v>
      </c>
      <c r="M29" s="37" t="str">
        <f aca="false">IF(L29&gt;$B$6,"",INDEX(Example!$P$7:$P$506,MATCH(L29,Example!$AI$7:$AI$506,0)))</f>
        <v/>
      </c>
      <c r="N29" s="0" t="str">
        <f aca="false">IF(L29&gt;$B$6,"",INDEX(Example!$A$7:$A$506,MATCH(L29,Example!$AI$7:$AI$506,0)))</f>
        <v/>
      </c>
      <c r="O29" s="34" t="str">
        <f aca="false">IF(L29&gt;$B$6,"",INDEX(Example!$AC$7:$AC$506,MATCH(L29,Example!$AI$7:$AI$506,0)))</f>
        <v/>
      </c>
      <c r="P29" s="35" t="str">
        <f aca="false">IF(L29&gt;$B$6,"",INDEX(Example!$AD$7:$AD$506,MATCH(L29,Example!$AI$7:$AI$506,0)))</f>
        <v/>
      </c>
      <c r="Q29" s="34" t="n">
        <f aca="false">IF(L29&gt;$B$6,Q28,Q28+O29)</f>
        <v>22057.5</v>
      </c>
      <c r="R29" s="34" t="str">
        <f aca="false">IF(L29&gt;$B$6,"",Q29-MAX($Q$5:Q29))</f>
        <v/>
      </c>
    </row>
    <row r="30" customFormat="false" ht="15" hidden="false" customHeight="false" outlineLevel="0" collapsed="false">
      <c r="A30" s="30" t="s">
        <v>115</v>
      </c>
      <c r="B30" s="42" t="n">
        <f aca="false">IFERROR(AVERAGEIFS(Example!$AF$7:$AF$506,Example!$U$7:$U$506,"Closed"),"")</f>
        <v>1.60397993311037</v>
      </c>
      <c r="D30" s="43" t="str">
        <f aca="false">IF(D29="","",IF(EDATE(D29,1)&gt;MAX(Example!$AH$7:$AH$506),"",EDATE(D29,1)))</f>
        <v/>
      </c>
      <c r="E30" s="32" t="str">
        <f aca="false">IF(D30="","",COUNTIFS(Example!$AH$7:$AH$506,D30))</f>
        <v/>
      </c>
      <c r="F30" s="32" t="str">
        <f aca="false">IF(D30="","",COUNTIFS(Example!$AH$7:$AH$506,D30,Example!$AC$7:$AC$506,"&gt;0"))</f>
        <v/>
      </c>
      <c r="G30" s="33" t="str">
        <f aca="false">IF(N(E30)=0,"",F30/E30)</f>
        <v/>
      </c>
      <c r="H30" s="34" t="str">
        <f aca="false">IF(D30="","",SUMIFS(Example!$AC$7:$AC$506,Example!$AH$7:$AH$506,D30))</f>
        <v/>
      </c>
      <c r="I30" s="35" t="str">
        <f aca="false">IF(D30="","",SUMIFS(Example!$AD$7:$AD$506,Example!$AH$7:$AH$506,D30))</f>
        <v/>
      </c>
      <c r="J30" s="35" t="n">
        <f aca="false">IF(COUNTIFS(Example!$AH$7:$AH$506,D30,Example!$Z$7:$Z$506,"&gt;0")=0,"",SUMIFS(Example!$AD$7:$AD$506,Example!$AH$7:$AH$506,D30,Example!$Z$7:$Z$506,"&gt;0")/COUNTIFS(Example!$AH$7:$AH$506,D30,Example!$Z$7:$Z$506,"&gt;0"))</f>
        <v>0</v>
      </c>
      <c r="L30" s="0" t="n">
        <v>25</v>
      </c>
      <c r="M30" s="37" t="str">
        <f aca="false">IF(L30&gt;$B$6,"",INDEX(Example!$P$7:$P$506,MATCH(L30,Example!$AI$7:$AI$506,0)))</f>
        <v/>
      </c>
      <c r="N30" s="0" t="str">
        <f aca="false">IF(L30&gt;$B$6,"",INDEX(Example!$A$7:$A$506,MATCH(L30,Example!$AI$7:$AI$506,0)))</f>
        <v/>
      </c>
      <c r="O30" s="34" t="str">
        <f aca="false">IF(L30&gt;$B$6,"",INDEX(Example!$AC$7:$AC$506,MATCH(L30,Example!$AI$7:$AI$506,0)))</f>
        <v/>
      </c>
      <c r="P30" s="35" t="str">
        <f aca="false">IF(L30&gt;$B$6,"",INDEX(Example!$AD$7:$AD$506,MATCH(L30,Example!$AI$7:$AI$506,0)))</f>
        <v/>
      </c>
      <c r="Q30" s="34" t="n">
        <f aca="false">IF(L30&gt;$B$6,Q29,Q29+O30)</f>
        <v>22057.5</v>
      </c>
      <c r="R30" s="34" t="str">
        <f aca="false">IF(L30&gt;$B$6,"",Q30-MAX($Q$5:Q30))</f>
        <v/>
      </c>
    </row>
    <row r="31" customFormat="false" ht="15" hidden="false" customHeight="false" outlineLevel="0" collapsed="false">
      <c r="A31" s="30" t="s">
        <v>116</v>
      </c>
      <c r="B31" s="31" t="n">
        <f aca="false">IF(B8=0,"",MAX(Example!$AC$7:$AC$506))</f>
        <v>428</v>
      </c>
      <c r="D31" s="43" t="str">
        <f aca="false">IF(D30="","",IF(EDATE(D30,1)&gt;MAX(Example!$AH$7:$AH$506),"",EDATE(D30,1)))</f>
        <v/>
      </c>
      <c r="E31" s="32" t="str">
        <f aca="false">IF(D31="","",COUNTIFS(Example!$AH$7:$AH$506,D31))</f>
        <v/>
      </c>
      <c r="F31" s="32" t="str">
        <f aca="false">IF(D31="","",COUNTIFS(Example!$AH$7:$AH$506,D31,Example!$AC$7:$AC$506,"&gt;0"))</f>
        <v/>
      </c>
      <c r="G31" s="33" t="str">
        <f aca="false">IF(N(E31)=0,"",F31/E31)</f>
        <v/>
      </c>
      <c r="H31" s="34" t="str">
        <f aca="false">IF(D31="","",SUMIFS(Example!$AC$7:$AC$506,Example!$AH$7:$AH$506,D31))</f>
        <v/>
      </c>
      <c r="I31" s="35" t="str">
        <f aca="false">IF(D31="","",SUMIFS(Example!$AD$7:$AD$506,Example!$AH$7:$AH$506,D31))</f>
        <v/>
      </c>
      <c r="J31" s="35" t="n">
        <f aca="false">IF(COUNTIFS(Example!$AH$7:$AH$506,D31,Example!$Z$7:$Z$506,"&gt;0")=0,"",SUMIFS(Example!$AD$7:$AD$506,Example!$AH$7:$AH$506,D31,Example!$Z$7:$Z$506,"&gt;0")/COUNTIFS(Example!$AH$7:$AH$506,D31,Example!$Z$7:$Z$506,"&gt;0"))</f>
        <v>0</v>
      </c>
      <c r="L31" s="0" t="n">
        <v>26</v>
      </c>
      <c r="M31" s="37" t="str">
        <f aca="false">IF(L31&gt;$B$6,"",INDEX(Example!$P$7:$P$506,MATCH(L31,Example!$AI$7:$AI$506,0)))</f>
        <v/>
      </c>
      <c r="N31" s="0" t="str">
        <f aca="false">IF(L31&gt;$B$6,"",INDEX(Example!$A$7:$A$506,MATCH(L31,Example!$AI$7:$AI$506,0)))</f>
        <v/>
      </c>
      <c r="O31" s="34" t="str">
        <f aca="false">IF(L31&gt;$B$6,"",INDEX(Example!$AC$7:$AC$506,MATCH(L31,Example!$AI$7:$AI$506,0)))</f>
        <v/>
      </c>
      <c r="P31" s="35" t="str">
        <f aca="false">IF(L31&gt;$B$6,"",INDEX(Example!$AD$7:$AD$506,MATCH(L31,Example!$AI$7:$AI$506,0)))</f>
        <v/>
      </c>
      <c r="Q31" s="34" t="n">
        <f aca="false">IF(L31&gt;$B$6,Q30,Q30+O31)</f>
        <v>22057.5</v>
      </c>
      <c r="R31" s="34" t="str">
        <f aca="false">IF(L31&gt;$B$6,"",Q31-MAX($Q$5:Q31))</f>
        <v/>
      </c>
    </row>
    <row r="32" customFormat="false" ht="15" hidden="false" customHeight="false" outlineLevel="0" collapsed="false">
      <c r="A32" s="30" t="s">
        <v>117</v>
      </c>
      <c r="B32" s="40" t="n">
        <f aca="false">IF(B9=0,"",MIN(Example!$AC$7:$AC$506))</f>
        <v>-590</v>
      </c>
      <c r="D32" s="43" t="str">
        <f aca="false">IF(D31="","",IF(EDATE(D31,1)&gt;MAX(Example!$AH$7:$AH$506),"",EDATE(D31,1)))</f>
        <v/>
      </c>
      <c r="E32" s="32" t="str">
        <f aca="false">IF(D32="","",COUNTIFS(Example!$AH$7:$AH$506,D32))</f>
        <v/>
      </c>
      <c r="F32" s="32" t="str">
        <f aca="false">IF(D32="","",COUNTIFS(Example!$AH$7:$AH$506,D32,Example!$AC$7:$AC$506,"&gt;0"))</f>
        <v/>
      </c>
      <c r="G32" s="33" t="str">
        <f aca="false">IF(N(E32)=0,"",F32/E32)</f>
        <v/>
      </c>
      <c r="H32" s="34" t="str">
        <f aca="false">IF(D32="","",SUMIFS(Example!$AC$7:$AC$506,Example!$AH$7:$AH$506,D32))</f>
        <v/>
      </c>
      <c r="I32" s="35" t="str">
        <f aca="false">IF(D32="","",SUMIFS(Example!$AD$7:$AD$506,Example!$AH$7:$AH$506,D32))</f>
        <v/>
      </c>
      <c r="J32" s="35" t="n">
        <f aca="false">IF(COUNTIFS(Example!$AH$7:$AH$506,D32,Example!$Z$7:$Z$506,"&gt;0")=0,"",SUMIFS(Example!$AD$7:$AD$506,Example!$AH$7:$AH$506,D32,Example!$Z$7:$Z$506,"&gt;0")/COUNTIFS(Example!$AH$7:$AH$506,D32,Example!$Z$7:$Z$506,"&gt;0"))</f>
        <v>0</v>
      </c>
      <c r="L32" s="0" t="n">
        <v>27</v>
      </c>
      <c r="M32" s="37" t="str">
        <f aca="false">IF(L32&gt;$B$6,"",INDEX(Example!$P$7:$P$506,MATCH(L32,Example!$AI$7:$AI$506,0)))</f>
        <v/>
      </c>
      <c r="N32" s="0" t="str">
        <f aca="false">IF(L32&gt;$B$6,"",INDEX(Example!$A$7:$A$506,MATCH(L32,Example!$AI$7:$AI$506,0)))</f>
        <v/>
      </c>
      <c r="O32" s="34" t="str">
        <f aca="false">IF(L32&gt;$B$6,"",INDEX(Example!$AC$7:$AC$506,MATCH(L32,Example!$AI$7:$AI$506,0)))</f>
        <v/>
      </c>
      <c r="P32" s="35" t="str">
        <f aca="false">IF(L32&gt;$B$6,"",INDEX(Example!$AD$7:$AD$506,MATCH(L32,Example!$AI$7:$AI$506,0)))</f>
        <v/>
      </c>
      <c r="Q32" s="34" t="n">
        <f aca="false">IF(L32&gt;$B$6,Q31,Q31+O32)</f>
        <v>22057.5</v>
      </c>
      <c r="R32" s="34" t="str">
        <f aca="false">IF(L32&gt;$B$6,"",Q32-MAX($Q$5:Q32))</f>
        <v/>
      </c>
    </row>
    <row r="33" customFormat="false" ht="15" hidden="false" customHeight="false" outlineLevel="0" collapsed="false">
      <c r="A33" s="30" t="s">
        <v>118</v>
      </c>
      <c r="B33" s="40" t="n">
        <f aca="false">IF(B6=0,"",MIN(R6:R505))</f>
        <v>-802</v>
      </c>
      <c r="D33" s="43" t="str">
        <f aca="false">IF(D32="","",IF(EDATE(D32,1)&gt;MAX(Example!$AH$7:$AH$506),"",EDATE(D32,1)))</f>
        <v/>
      </c>
      <c r="E33" s="32" t="str">
        <f aca="false">IF(D33="","",COUNTIFS(Example!$AH$7:$AH$506,D33))</f>
        <v/>
      </c>
      <c r="F33" s="32" t="str">
        <f aca="false">IF(D33="","",COUNTIFS(Example!$AH$7:$AH$506,D33,Example!$AC$7:$AC$506,"&gt;0"))</f>
        <v/>
      </c>
      <c r="G33" s="33" t="str">
        <f aca="false">IF(N(E33)=0,"",F33/E33)</f>
        <v/>
      </c>
      <c r="H33" s="34" t="str">
        <f aca="false">IF(D33="","",SUMIFS(Example!$AC$7:$AC$506,Example!$AH$7:$AH$506,D33))</f>
        <v/>
      </c>
      <c r="I33" s="35" t="str">
        <f aca="false">IF(D33="","",SUMIFS(Example!$AD$7:$AD$506,Example!$AH$7:$AH$506,D33))</f>
        <v/>
      </c>
      <c r="J33" s="35" t="n">
        <f aca="false">IF(COUNTIFS(Example!$AH$7:$AH$506,D33,Example!$Z$7:$Z$506,"&gt;0")=0,"",SUMIFS(Example!$AD$7:$AD$506,Example!$AH$7:$AH$506,D33,Example!$Z$7:$Z$506,"&gt;0")/COUNTIFS(Example!$AH$7:$AH$506,D33,Example!$Z$7:$Z$506,"&gt;0"))</f>
        <v>0</v>
      </c>
      <c r="L33" s="0" t="n">
        <v>28</v>
      </c>
      <c r="M33" s="37" t="str">
        <f aca="false">IF(L33&gt;$B$6,"",INDEX(Example!$P$7:$P$506,MATCH(L33,Example!$AI$7:$AI$506,0)))</f>
        <v/>
      </c>
      <c r="N33" s="0" t="str">
        <f aca="false">IF(L33&gt;$B$6,"",INDEX(Example!$A$7:$A$506,MATCH(L33,Example!$AI$7:$AI$506,0)))</f>
        <v/>
      </c>
      <c r="O33" s="34" t="str">
        <f aca="false">IF(L33&gt;$B$6,"",INDEX(Example!$AC$7:$AC$506,MATCH(L33,Example!$AI$7:$AI$506,0)))</f>
        <v/>
      </c>
      <c r="P33" s="35" t="str">
        <f aca="false">IF(L33&gt;$B$6,"",INDEX(Example!$AD$7:$AD$506,MATCH(L33,Example!$AI$7:$AI$506,0)))</f>
        <v/>
      </c>
      <c r="Q33" s="34" t="n">
        <f aca="false">IF(L33&gt;$B$6,Q32,Q32+O33)</f>
        <v>22057.5</v>
      </c>
      <c r="R33" s="34" t="str">
        <f aca="false">IF(L33&gt;$B$6,"",Q33-MAX($Q$5:Q33))</f>
        <v/>
      </c>
    </row>
    <row r="34" customFormat="false" ht="15" hidden="false" customHeight="false" outlineLevel="0" collapsed="false">
      <c r="A34" s="30" t="s">
        <v>119</v>
      </c>
      <c r="B34" s="31" t="n">
        <f aca="false">N(B5)+B11</f>
        <v>22057.5</v>
      </c>
      <c r="D34" s="43" t="str">
        <f aca="false">IF(D33="","",IF(EDATE(D33,1)&gt;MAX(Example!$AH$7:$AH$506),"",EDATE(D33,1)))</f>
        <v/>
      </c>
      <c r="E34" s="32" t="str">
        <f aca="false">IF(D34="","",COUNTIFS(Example!$AH$7:$AH$506,D34))</f>
        <v/>
      </c>
      <c r="F34" s="32" t="str">
        <f aca="false">IF(D34="","",COUNTIFS(Example!$AH$7:$AH$506,D34,Example!$AC$7:$AC$506,"&gt;0"))</f>
        <v/>
      </c>
      <c r="G34" s="33" t="str">
        <f aca="false">IF(N(E34)=0,"",F34/E34)</f>
        <v/>
      </c>
      <c r="H34" s="34" t="str">
        <f aca="false">IF(D34="","",SUMIFS(Example!$AC$7:$AC$506,Example!$AH$7:$AH$506,D34))</f>
        <v/>
      </c>
      <c r="I34" s="35" t="str">
        <f aca="false">IF(D34="","",SUMIFS(Example!$AD$7:$AD$506,Example!$AH$7:$AH$506,D34))</f>
        <v/>
      </c>
      <c r="J34" s="35" t="n">
        <f aca="false">IF(COUNTIFS(Example!$AH$7:$AH$506,D34,Example!$Z$7:$Z$506,"&gt;0")=0,"",SUMIFS(Example!$AD$7:$AD$506,Example!$AH$7:$AH$506,D34,Example!$Z$7:$Z$506,"&gt;0")/COUNTIFS(Example!$AH$7:$AH$506,D34,Example!$Z$7:$Z$506,"&gt;0"))</f>
        <v>0</v>
      </c>
      <c r="L34" s="0" t="n">
        <v>29</v>
      </c>
      <c r="M34" s="37" t="str">
        <f aca="false">IF(L34&gt;$B$6,"",INDEX(Example!$P$7:$P$506,MATCH(L34,Example!$AI$7:$AI$506,0)))</f>
        <v/>
      </c>
      <c r="N34" s="0" t="str">
        <f aca="false">IF(L34&gt;$B$6,"",INDEX(Example!$A$7:$A$506,MATCH(L34,Example!$AI$7:$AI$506,0)))</f>
        <v/>
      </c>
      <c r="O34" s="34" t="str">
        <f aca="false">IF(L34&gt;$B$6,"",INDEX(Example!$AC$7:$AC$506,MATCH(L34,Example!$AI$7:$AI$506,0)))</f>
        <v/>
      </c>
      <c r="P34" s="35" t="str">
        <f aca="false">IF(L34&gt;$B$6,"",INDEX(Example!$AD$7:$AD$506,MATCH(L34,Example!$AI$7:$AI$506,0)))</f>
        <v/>
      </c>
      <c r="Q34" s="34" t="n">
        <f aca="false">IF(L34&gt;$B$6,Q33,Q33+O34)</f>
        <v>22057.5</v>
      </c>
      <c r="R34" s="34" t="str">
        <f aca="false">IF(L34&gt;$B$6,"",Q34-MAX($Q$5:Q34))</f>
        <v/>
      </c>
    </row>
    <row r="35" customFormat="false" ht="15" hidden="false" customHeight="false" outlineLevel="0" collapsed="false">
      <c r="A35" s="30" t="s">
        <v>120</v>
      </c>
      <c r="B35" s="45" t="n">
        <f aca="false">IF(N(B5)=0,"",B11/B5)</f>
        <v>0.102875</v>
      </c>
      <c r="D35" s="43" t="str">
        <f aca="false">IF(D34="","",IF(EDATE(D34,1)&gt;MAX(Example!$AH$7:$AH$506),"",EDATE(D34,1)))</f>
        <v/>
      </c>
      <c r="E35" s="32" t="str">
        <f aca="false">IF(D35="","",COUNTIFS(Example!$AH$7:$AH$506,D35))</f>
        <v/>
      </c>
      <c r="F35" s="32" t="str">
        <f aca="false">IF(D35="","",COUNTIFS(Example!$AH$7:$AH$506,D35,Example!$AC$7:$AC$506,"&gt;0"))</f>
        <v/>
      </c>
      <c r="G35" s="33" t="str">
        <f aca="false">IF(N(E35)=0,"",F35/E35)</f>
        <v/>
      </c>
      <c r="H35" s="34" t="str">
        <f aca="false">IF(D35="","",SUMIFS(Example!$AC$7:$AC$506,Example!$AH$7:$AH$506,D35))</f>
        <v/>
      </c>
      <c r="I35" s="35" t="str">
        <f aca="false">IF(D35="","",SUMIFS(Example!$AD$7:$AD$506,Example!$AH$7:$AH$506,D35))</f>
        <v/>
      </c>
      <c r="J35" s="35" t="n">
        <f aca="false">IF(COUNTIFS(Example!$AH$7:$AH$506,D35,Example!$Z$7:$Z$506,"&gt;0")=0,"",SUMIFS(Example!$AD$7:$AD$506,Example!$AH$7:$AH$506,D35,Example!$Z$7:$Z$506,"&gt;0")/COUNTIFS(Example!$AH$7:$AH$506,D35,Example!$Z$7:$Z$506,"&gt;0"))</f>
        <v>0</v>
      </c>
      <c r="L35" s="0" t="n">
        <v>30</v>
      </c>
      <c r="M35" s="37" t="str">
        <f aca="false">IF(L35&gt;$B$6,"",INDEX(Example!$P$7:$P$506,MATCH(L35,Example!$AI$7:$AI$506,0)))</f>
        <v/>
      </c>
      <c r="N35" s="0" t="str">
        <f aca="false">IF(L35&gt;$B$6,"",INDEX(Example!$A$7:$A$506,MATCH(L35,Example!$AI$7:$AI$506,0)))</f>
        <v/>
      </c>
      <c r="O35" s="34" t="str">
        <f aca="false">IF(L35&gt;$B$6,"",INDEX(Example!$AC$7:$AC$506,MATCH(L35,Example!$AI$7:$AI$506,0)))</f>
        <v/>
      </c>
      <c r="P35" s="35" t="str">
        <f aca="false">IF(L35&gt;$B$6,"",INDEX(Example!$AD$7:$AD$506,MATCH(L35,Example!$AI$7:$AI$506,0)))</f>
        <v/>
      </c>
      <c r="Q35" s="34" t="n">
        <f aca="false">IF(L35&gt;$B$6,Q34,Q34+O35)</f>
        <v>22057.5</v>
      </c>
      <c r="R35" s="34" t="str">
        <f aca="false">IF(L35&gt;$B$6,"",Q35-MAX($Q$5:Q35))</f>
        <v/>
      </c>
    </row>
    <row r="36" customFormat="false" ht="15" hidden="false" customHeight="false" outlineLevel="0" collapsed="false">
      <c r="A36" s="30" t="s">
        <v>121</v>
      </c>
      <c r="B36" s="31" t="n">
        <f aca="false">SUM(Example!$AG$7:$AG$506)</f>
        <v>250</v>
      </c>
      <c r="D36" s="43" t="str">
        <f aca="false">IF(D35="","",IF(EDATE(D35,1)&gt;MAX(Example!$AH$7:$AH$506),"",EDATE(D35,1)))</f>
        <v/>
      </c>
      <c r="E36" s="32" t="str">
        <f aca="false">IF(D36="","",COUNTIFS(Example!$AH$7:$AH$506,D36))</f>
        <v/>
      </c>
      <c r="F36" s="32" t="str">
        <f aca="false">IF(D36="","",COUNTIFS(Example!$AH$7:$AH$506,D36,Example!$AC$7:$AC$506,"&gt;0"))</f>
        <v/>
      </c>
      <c r="G36" s="33" t="str">
        <f aca="false">IF(N(E36)=0,"",F36/E36)</f>
        <v/>
      </c>
      <c r="H36" s="34" t="str">
        <f aca="false">IF(D36="","",SUMIFS(Example!$AC$7:$AC$506,Example!$AH$7:$AH$506,D36))</f>
        <v/>
      </c>
      <c r="I36" s="35" t="str">
        <f aca="false">IF(D36="","",SUMIFS(Example!$AD$7:$AD$506,Example!$AH$7:$AH$506,D36))</f>
        <v/>
      </c>
      <c r="J36" s="35" t="n">
        <f aca="false">IF(COUNTIFS(Example!$AH$7:$AH$506,D36,Example!$Z$7:$Z$506,"&gt;0")=0,"",SUMIFS(Example!$AD$7:$AD$506,Example!$AH$7:$AH$506,D36,Example!$Z$7:$Z$506,"&gt;0")/COUNTIFS(Example!$AH$7:$AH$506,D36,Example!$Z$7:$Z$506,"&gt;0"))</f>
        <v>0</v>
      </c>
      <c r="L36" s="0" t="n">
        <v>31</v>
      </c>
      <c r="M36" s="37" t="str">
        <f aca="false">IF(L36&gt;$B$6,"",INDEX(Example!$P$7:$P$506,MATCH(L36,Example!$AI$7:$AI$506,0)))</f>
        <v/>
      </c>
      <c r="N36" s="0" t="str">
        <f aca="false">IF(L36&gt;$B$6,"",INDEX(Example!$A$7:$A$506,MATCH(L36,Example!$AI$7:$AI$506,0)))</f>
        <v/>
      </c>
      <c r="O36" s="34" t="str">
        <f aca="false">IF(L36&gt;$B$6,"",INDEX(Example!$AC$7:$AC$506,MATCH(L36,Example!$AI$7:$AI$506,0)))</f>
        <v/>
      </c>
      <c r="P36" s="35" t="str">
        <f aca="false">IF(L36&gt;$B$6,"",INDEX(Example!$AD$7:$AD$506,MATCH(L36,Example!$AI$7:$AI$506,0)))</f>
        <v/>
      </c>
      <c r="Q36" s="34" t="n">
        <f aca="false">IF(L36&gt;$B$6,Q35,Q35+O36)</f>
        <v>22057.5</v>
      </c>
      <c r="R36" s="34" t="str">
        <f aca="false">IF(L36&gt;$B$6,"",Q36-MAX($Q$5:Q36))</f>
        <v/>
      </c>
    </row>
    <row r="37" customFormat="false" ht="15" hidden="false" customHeight="false" outlineLevel="0" collapsed="false">
      <c r="A37" s="30" t="s">
        <v>122</v>
      </c>
      <c r="B37" s="46" t="n">
        <f aca="false">IF(N(B34)&lt;=0,"",B36/B34)</f>
        <v>0.0113340133741358</v>
      </c>
      <c r="D37" s="43" t="str">
        <f aca="false">IF(D36="","",IF(EDATE(D36,1)&gt;MAX(Example!$AH$7:$AH$506),"",EDATE(D36,1)))</f>
        <v/>
      </c>
      <c r="E37" s="32" t="str">
        <f aca="false">IF(D37="","",COUNTIFS(Example!$AH$7:$AH$506,D37))</f>
        <v/>
      </c>
      <c r="F37" s="32" t="str">
        <f aca="false">IF(D37="","",COUNTIFS(Example!$AH$7:$AH$506,D37,Example!$AC$7:$AC$506,"&gt;0"))</f>
        <v/>
      </c>
      <c r="G37" s="33" t="str">
        <f aca="false">IF(N(E37)=0,"",F37/E37)</f>
        <v/>
      </c>
      <c r="H37" s="34" t="str">
        <f aca="false">IF(D37="","",SUMIFS(Example!$AC$7:$AC$506,Example!$AH$7:$AH$506,D37))</f>
        <v/>
      </c>
      <c r="I37" s="35" t="str">
        <f aca="false">IF(D37="","",SUMIFS(Example!$AD$7:$AD$506,Example!$AH$7:$AH$506,D37))</f>
        <v/>
      </c>
      <c r="J37" s="35" t="n">
        <f aca="false">IF(COUNTIFS(Example!$AH$7:$AH$506,D37,Example!$Z$7:$Z$506,"&gt;0")=0,"",SUMIFS(Example!$AD$7:$AD$506,Example!$AH$7:$AH$506,D37,Example!$Z$7:$Z$506,"&gt;0")/COUNTIFS(Example!$AH$7:$AH$506,D37,Example!$Z$7:$Z$506,"&gt;0"))</f>
        <v>0</v>
      </c>
      <c r="L37" s="0" t="n">
        <v>32</v>
      </c>
      <c r="M37" s="37" t="str">
        <f aca="false">IF(L37&gt;$B$6,"",INDEX(Example!$P$7:$P$506,MATCH(L37,Example!$AI$7:$AI$506,0)))</f>
        <v/>
      </c>
      <c r="N37" s="0" t="str">
        <f aca="false">IF(L37&gt;$B$6,"",INDEX(Example!$A$7:$A$506,MATCH(L37,Example!$AI$7:$AI$506,0)))</f>
        <v/>
      </c>
      <c r="O37" s="34" t="str">
        <f aca="false">IF(L37&gt;$B$6,"",INDEX(Example!$AC$7:$AC$506,MATCH(L37,Example!$AI$7:$AI$506,0)))</f>
        <v/>
      </c>
      <c r="P37" s="35" t="str">
        <f aca="false">IF(L37&gt;$B$6,"",INDEX(Example!$AD$7:$AD$506,MATCH(L37,Example!$AI$7:$AI$506,0)))</f>
        <v/>
      </c>
      <c r="Q37" s="34" t="n">
        <f aca="false">IF(L37&gt;$B$6,Q36,Q36+O37)</f>
        <v>22057.5</v>
      </c>
      <c r="R37" s="34" t="str">
        <f aca="false">IF(L37&gt;$B$6,"",Q37-MAX($Q$5:Q37))</f>
        <v/>
      </c>
    </row>
    <row r="38" customFormat="false" ht="15" hidden="false" customHeight="false" outlineLevel="0" collapsed="false">
      <c r="A38" s="30" t="s">
        <v>123</v>
      </c>
      <c r="B38" s="39" t="n">
        <f aca="false">Example!$C$4</f>
        <v>0.06</v>
      </c>
      <c r="D38" s="43" t="str">
        <f aca="false">IF(D37="","",IF(EDATE(D37,1)&gt;MAX(Example!$AH$7:$AH$506),"",EDATE(D37,1)))</f>
        <v/>
      </c>
      <c r="E38" s="32" t="str">
        <f aca="false">IF(D38="","",COUNTIFS(Example!$AH$7:$AH$506,D38))</f>
        <v/>
      </c>
      <c r="F38" s="32" t="str">
        <f aca="false">IF(D38="","",COUNTIFS(Example!$AH$7:$AH$506,D38,Example!$AC$7:$AC$506,"&gt;0"))</f>
        <v/>
      </c>
      <c r="G38" s="33" t="str">
        <f aca="false">IF(N(E38)=0,"",F38/E38)</f>
        <v/>
      </c>
      <c r="H38" s="34" t="str">
        <f aca="false">IF(D38="","",SUMIFS(Example!$AC$7:$AC$506,Example!$AH$7:$AH$506,D38))</f>
        <v/>
      </c>
      <c r="I38" s="35" t="str">
        <f aca="false">IF(D38="","",SUMIFS(Example!$AD$7:$AD$506,Example!$AH$7:$AH$506,D38))</f>
        <v/>
      </c>
      <c r="J38" s="35" t="n">
        <f aca="false">IF(COUNTIFS(Example!$AH$7:$AH$506,D38,Example!$Z$7:$Z$506,"&gt;0")=0,"",SUMIFS(Example!$AD$7:$AD$506,Example!$AH$7:$AH$506,D38,Example!$Z$7:$Z$506,"&gt;0")/COUNTIFS(Example!$AH$7:$AH$506,D38,Example!$Z$7:$Z$506,"&gt;0"))</f>
        <v>0</v>
      </c>
      <c r="L38" s="0" t="n">
        <v>33</v>
      </c>
      <c r="M38" s="37" t="str">
        <f aca="false">IF(L38&gt;$B$6,"",INDEX(Example!$P$7:$P$506,MATCH(L38,Example!$AI$7:$AI$506,0)))</f>
        <v/>
      </c>
      <c r="N38" s="0" t="str">
        <f aca="false">IF(L38&gt;$B$6,"",INDEX(Example!$A$7:$A$506,MATCH(L38,Example!$AI$7:$AI$506,0)))</f>
        <v/>
      </c>
      <c r="O38" s="34" t="str">
        <f aca="false">IF(L38&gt;$B$6,"",INDEX(Example!$AC$7:$AC$506,MATCH(L38,Example!$AI$7:$AI$506,0)))</f>
        <v/>
      </c>
      <c r="P38" s="35" t="str">
        <f aca="false">IF(L38&gt;$B$6,"",INDEX(Example!$AD$7:$AD$506,MATCH(L38,Example!$AI$7:$AI$506,0)))</f>
        <v/>
      </c>
      <c r="Q38" s="34" t="n">
        <f aca="false">IF(L38&gt;$B$6,Q37,Q37+O38)</f>
        <v>22057.5</v>
      </c>
      <c r="R38" s="34" t="str">
        <f aca="false">IF(L38&gt;$B$6,"",Q38-MAX($Q$5:Q38))</f>
        <v/>
      </c>
    </row>
    <row r="39" customFormat="false" ht="15" hidden="false" customHeight="false" outlineLevel="0" collapsed="false">
      <c r="A39" s="30" t="s">
        <v>34</v>
      </c>
      <c r="B39" s="47" t="str">
        <f aca="false">IF(OR(N(B38)&lt;=0,B37=""),"",IF(B37&gt;B38,"Over limit","OK"))</f>
        <v>OK</v>
      </c>
      <c r="D39" s="43" t="str">
        <f aca="false">IF(D38="","",IF(EDATE(D38,1)&gt;MAX(Example!$AH$7:$AH$506),"",EDATE(D38,1)))</f>
        <v/>
      </c>
      <c r="E39" s="32" t="str">
        <f aca="false">IF(D39="","",COUNTIFS(Example!$AH$7:$AH$506,D39))</f>
        <v/>
      </c>
      <c r="F39" s="32" t="str">
        <f aca="false">IF(D39="","",COUNTIFS(Example!$AH$7:$AH$506,D39,Example!$AC$7:$AC$506,"&gt;0"))</f>
        <v/>
      </c>
      <c r="G39" s="33" t="str">
        <f aca="false">IF(N(E39)=0,"",F39/E39)</f>
        <v/>
      </c>
      <c r="H39" s="34" t="str">
        <f aca="false">IF(D39="","",SUMIFS(Example!$AC$7:$AC$506,Example!$AH$7:$AH$506,D39))</f>
        <v/>
      </c>
      <c r="I39" s="35" t="str">
        <f aca="false">IF(D39="","",SUMIFS(Example!$AD$7:$AD$506,Example!$AH$7:$AH$506,D39))</f>
        <v/>
      </c>
      <c r="J39" s="35" t="n">
        <f aca="false">IF(COUNTIFS(Example!$AH$7:$AH$506,D39,Example!$Z$7:$Z$506,"&gt;0")=0,"",SUMIFS(Example!$AD$7:$AD$506,Example!$AH$7:$AH$506,D39,Example!$Z$7:$Z$506,"&gt;0")/COUNTIFS(Example!$AH$7:$AH$506,D39,Example!$Z$7:$Z$506,"&gt;0"))</f>
        <v>0</v>
      </c>
      <c r="L39" s="0" t="n">
        <v>34</v>
      </c>
      <c r="M39" s="37" t="str">
        <f aca="false">IF(L39&gt;$B$6,"",INDEX(Example!$P$7:$P$506,MATCH(L39,Example!$AI$7:$AI$506,0)))</f>
        <v/>
      </c>
      <c r="N39" s="0" t="str">
        <f aca="false">IF(L39&gt;$B$6,"",INDEX(Example!$A$7:$A$506,MATCH(L39,Example!$AI$7:$AI$506,0)))</f>
        <v/>
      </c>
      <c r="O39" s="34" t="str">
        <f aca="false">IF(L39&gt;$B$6,"",INDEX(Example!$AC$7:$AC$506,MATCH(L39,Example!$AI$7:$AI$506,0)))</f>
        <v/>
      </c>
      <c r="P39" s="35" t="str">
        <f aca="false">IF(L39&gt;$B$6,"",INDEX(Example!$AD$7:$AD$506,MATCH(L39,Example!$AI$7:$AI$506,0)))</f>
        <v/>
      </c>
      <c r="Q39" s="34" t="n">
        <f aca="false">IF(L39&gt;$B$6,Q38,Q38+O39)</f>
        <v>22057.5</v>
      </c>
      <c r="R39" s="34" t="str">
        <f aca="false">IF(L39&gt;$B$6,"",Q39-MAX($Q$5:Q39))</f>
        <v/>
      </c>
    </row>
    <row r="40" customFormat="false" ht="15" hidden="false" customHeight="false" outlineLevel="0" collapsed="false">
      <c r="D40" s="43" t="str">
        <f aca="false">IF(D39="","",IF(EDATE(D39,1)&gt;MAX(Example!$AH$7:$AH$506),"",EDATE(D39,1)))</f>
        <v/>
      </c>
      <c r="E40" s="32" t="str">
        <f aca="false">IF(D40="","",COUNTIFS(Example!$AH$7:$AH$506,D40))</f>
        <v/>
      </c>
      <c r="F40" s="32" t="str">
        <f aca="false">IF(D40="","",COUNTIFS(Example!$AH$7:$AH$506,D40,Example!$AC$7:$AC$506,"&gt;0"))</f>
        <v/>
      </c>
      <c r="G40" s="33" t="str">
        <f aca="false">IF(N(E40)=0,"",F40/E40)</f>
        <v/>
      </c>
      <c r="H40" s="34" t="str">
        <f aca="false">IF(D40="","",SUMIFS(Example!$AC$7:$AC$506,Example!$AH$7:$AH$506,D40))</f>
        <v/>
      </c>
      <c r="I40" s="35" t="str">
        <f aca="false">IF(D40="","",SUMIFS(Example!$AD$7:$AD$506,Example!$AH$7:$AH$506,D40))</f>
        <v/>
      </c>
      <c r="J40" s="35" t="n">
        <f aca="false">IF(COUNTIFS(Example!$AH$7:$AH$506,D40,Example!$Z$7:$Z$506,"&gt;0")=0,"",SUMIFS(Example!$AD$7:$AD$506,Example!$AH$7:$AH$506,D40,Example!$Z$7:$Z$506,"&gt;0")/COUNTIFS(Example!$AH$7:$AH$506,D40,Example!$Z$7:$Z$506,"&gt;0"))</f>
        <v>0</v>
      </c>
      <c r="L40" s="0" t="n">
        <v>35</v>
      </c>
      <c r="M40" s="37" t="str">
        <f aca="false">IF(L40&gt;$B$6,"",INDEX(Example!$P$7:$P$506,MATCH(L40,Example!$AI$7:$AI$506,0)))</f>
        <v/>
      </c>
      <c r="N40" s="0" t="str">
        <f aca="false">IF(L40&gt;$B$6,"",INDEX(Example!$A$7:$A$506,MATCH(L40,Example!$AI$7:$AI$506,0)))</f>
        <v/>
      </c>
      <c r="O40" s="34" t="str">
        <f aca="false">IF(L40&gt;$B$6,"",INDEX(Example!$AC$7:$AC$506,MATCH(L40,Example!$AI$7:$AI$506,0)))</f>
        <v/>
      </c>
      <c r="P40" s="35" t="str">
        <f aca="false">IF(L40&gt;$B$6,"",INDEX(Example!$AD$7:$AD$506,MATCH(L40,Example!$AI$7:$AI$506,0)))</f>
        <v/>
      </c>
      <c r="Q40" s="34" t="n">
        <f aca="false">IF(L40&gt;$B$6,Q39,Q39+O40)</f>
        <v>22057.5</v>
      </c>
      <c r="R40" s="34" t="str">
        <f aca="false">IF(L40&gt;$B$6,"",Q40-MAX($Q$5:Q40))</f>
        <v/>
      </c>
    </row>
    <row r="41" customFormat="false" ht="15" hidden="false" customHeight="false" outlineLevel="0" collapsed="false">
      <c r="D41" s="43" t="str">
        <f aca="false">IF(D40="","",IF(EDATE(D40,1)&gt;MAX(Example!$AH$7:$AH$506),"",EDATE(D40,1)))</f>
        <v/>
      </c>
      <c r="E41" s="32" t="str">
        <f aca="false">IF(D41="","",COUNTIFS(Example!$AH$7:$AH$506,D41))</f>
        <v/>
      </c>
      <c r="F41" s="32" t="str">
        <f aca="false">IF(D41="","",COUNTIFS(Example!$AH$7:$AH$506,D41,Example!$AC$7:$AC$506,"&gt;0"))</f>
        <v/>
      </c>
      <c r="G41" s="33" t="str">
        <f aca="false">IF(N(E41)=0,"",F41/E41)</f>
        <v/>
      </c>
      <c r="H41" s="34" t="str">
        <f aca="false">IF(D41="","",SUMIFS(Example!$AC$7:$AC$506,Example!$AH$7:$AH$506,D41))</f>
        <v/>
      </c>
      <c r="I41" s="35" t="str">
        <f aca="false">IF(D41="","",SUMIFS(Example!$AD$7:$AD$506,Example!$AH$7:$AH$506,D41))</f>
        <v/>
      </c>
      <c r="J41" s="35" t="n">
        <f aca="false">IF(COUNTIFS(Example!$AH$7:$AH$506,D41,Example!$Z$7:$Z$506,"&gt;0")=0,"",SUMIFS(Example!$AD$7:$AD$506,Example!$AH$7:$AH$506,D41,Example!$Z$7:$Z$506,"&gt;0")/COUNTIFS(Example!$AH$7:$AH$506,D41,Example!$Z$7:$Z$506,"&gt;0"))</f>
        <v>0</v>
      </c>
      <c r="L41" s="0" t="n">
        <v>36</v>
      </c>
      <c r="M41" s="37" t="str">
        <f aca="false">IF(L41&gt;$B$6,"",INDEX(Example!$P$7:$P$506,MATCH(L41,Example!$AI$7:$AI$506,0)))</f>
        <v/>
      </c>
      <c r="N41" s="0" t="str">
        <f aca="false">IF(L41&gt;$B$6,"",INDEX(Example!$A$7:$A$506,MATCH(L41,Example!$AI$7:$AI$506,0)))</f>
        <v/>
      </c>
      <c r="O41" s="34" t="str">
        <f aca="false">IF(L41&gt;$B$6,"",INDEX(Example!$AC$7:$AC$506,MATCH(L41,Example!$AI$7:$AI$506,0)))</f>
        <v/>
      </c>
      <c r="P41" s="35" t="str">
        <f aca="false">IF(L41&gt;$B$6,"",INDEX(Example!$AD$7:$AD$506,MATCH(L41,Example!$AI$7:$AI$506,0)))</f>
        <v/>
      </c>
      <c r="Q41" s="34" t="n">
        <f aca="false">IF(L41&gt;$B$6,Q40,Q40+O41)</f>
        <v>22057.5</v>
      </c>
      <c r="R41" s="34" t="str">
        <f aca="false">IF(L41&gt;$B$6,"",Q41-MAX($Q$5:Q41))</f>
        <v/>
      </c>
    </row>
    <row r="42" customFormat="false" ht="15" hidden="false" customHeight="false" outlineLevel="0" collapsed="false">
      <c r="D42" s="43" t="str">
        <f aca="false">IF(D41="","",IF(EDATE(D41,1)&gt;MAX(Example!$AH$7:$AH$506),"",EDATE(D41,1)))</f>
        <v/>
      </c>
      <c r="E42" s="32" t="str">
        <f aca="false">IF(D42="","",COUNTIFS(Example!$AH$7:$AH$506,D42))</f>
        <v/>
      </c>
      <c r="F42" s="32" t="str">
        <f aca="false">IF(D42="","",COUNTIFS(Example!$AH$7:$AH$506,D42,Example!$AC$7:$AC$506,"&gt;0"))</f>
        <v/>
      </c>
      <c r="G42" s="33" t="str">
        <f aca="false">IF(N(E42)=0,"",F42/E42)</f>
        <v/>
      </c>
      <c r="H42" s="34" t="str">
        <f aca="false">IF(D42="","",SUMIFS(Example!$AC$7:$AC$506,Example!$AH$7:$AH$506,D42))</f>
        <v/>
      </c>
      <c r="I42" s="35" t="str">
        <f aca="false">IF(D42="","",SUMIFS(Example!$AD$7:$AD$506,Example!$AH$7:$AH$506,D42))</f>
        <v/>
      </c>
      <c r="J42" s="35" t="n">
        <f aca="false">IF(COUNTIFS(Example!$AH$7:$AH$506,D42,Example!$Z$7:$Z$506,"&gt;0")=0,"",SUMIFS(Example!$AD$7:$AD$506,Example!$AH$7:$AH$506,D42,Example!$Z$7:$Z$506,"&gt;0")/COUNTIFS(Example!$AH$7:$AH$506,D42,Example!$Z$7:$Z$506,"&gt;0"))</f>
        <v>0</v>
      </c>
      <c r="L42" s="0" t="n">
        <v>37</v>
      </c>
      <c r="M42" s="37" t="str">
        <f aca="false">IF(L42&gt;$B$6,"",INDEX(Example!$P$7:$P$506,MATCH(L42,Example!$AI$7:$AI$506,0)))</f>
        <v/>
      </c>
      <c r="N42" s="0" t="str">
        <f aca="false">IF(L42&gt;$B$6,"",INDEX(Example!$A$7:$A$506,MATCH(L42,Example!$AI$7:$AI$506,0)))</f>
        <v/>
      </c>
      <c r="O42" s="34" t="str">
        <f aca="false">IF(L42&gt;$B$6,"",INDEX(Example!$AC$7:$AC$506,MATCH(L42,Example!$AI$7:$AI$506,0)))</f>
        <v/>
      </c>
      <c r="P42" s="35" t="str">
        <f aca="false">IF(L42&gt;$B$6,"",INDEX(Example!$AD$7:$AD$506,MATCH(L42,Example!$AI$7:$AI$506,0)))</f>
        <v/>
      </c>
      <c r="Q42" s="34" t="n">
        <f aca="false">IF(L42&gt;$B$6,Q41,Q41+O42)</f>
        <v>22057.5</v>
      </c>
      <c r="R42" s="34" t="str">
        <f aca="false">IF(L42&gt;$B$6,"",Q42-MAX($Q$5:Q42))</f>
        <v/>
      </c>
    </row>
    <row r="43" customFormat="false" ht="15" hidden="false" customHeight="false" outlineLevel="0" collapsed="false">
      <c r="D43" s="43" t="str">
        <f aca="false">IF(D42="","",IF(EDATE(D42,1)&gt;MAX(Example!$AH$7:$AH$506),"",EDATE(D42,1)))</f>
        <v/>
      </c>
      <c r="E43" s="32" t="str">
        <f aca="false">IF(D43="","",COUNTIFS(Example!$AH$7:$AH$506,D43))</f>
        <v/>
      </c>
      <c r="F43" s="32" t="str">
        <f aca="false">IF(D43="","",COUNTIFS(Example!$AH$7:$AH$506,D43,Example!$AC$7:$AC$506,"&gt;0"))</f>
        <v/>
      </c>
      <c r="G43" s="33" t="str">
        <f aca="false">IF(N(E43)=0,"",F43/E43)</f>
        <v/>
      </c>
      <c r="H43" s="34" t="str">
        <f aca="false">IF(D43="","",SUMIFS(Example!$AC$7:$AC$506,Example!$AH$7:$AH$506,D43))</f>
        <v/>
      </c>
      <c r="I43" s="35" t="str">
        <f aca="false">IF(D43="","",SUMIFS(Example!$AD$7:$AD$506,Example!$AH$7:$AH$506,D43))</f>
        <v/>
      </c>
      <c r="J43" s="35" t="n">
        <f aca="false">IF(COUNTIFS(Example!$AH$7:$AH$506,D43,Example!$Z$7:$Z$506,"&gt;0")=0,"",SUMIFS(Example!$AD$7:$AD$506,Example!$AH$7:$AH$506,D43,Example!$Z$7:$Z$506,"&gt;0")/COUNTIFS(Example!$AH$7:$AH$506,D43,Example!$Z$7:$Z$506,"&gt;0"))</f>
        <v>0</v>
      </c>
      <c r="L43" s="0" t="n">
        <v>38</v>
      </c>
      <c r="M43" s="37" t="str">
        <f aca="false">IF(L43&gt;$B$6,"",INDEX(Example!$P$7:$P$506,MATCH(L43,Example!$AI$7:$AI$506,0)))</f>
        <v/>
      </c>
      <c r="N43" s="0" t="str">
        <f aca="false">IF(L43&gt;$B$6,"",INDEX(Example!$A$7:$A$506,MATCH(L43,Example!$AI$7:$AI$506,0)))</f>
        <v/>
      </c>
      <c r="O43" s="34" t="str">
        <f aca="false">IF(L43&gt;$B$6,"",INDEX(Example!$AC$7:$AC$506,MATCH(L43,Example!$AI$7:$AI$506,0)))</f>
        <v/>
      </c>
      <c r="P43" s="35" t="str">
        <f aca="false">IF(L43&gt;$B$6,"",INDEX(Example!$AD$7:$AD$506,MATCH(L43,Example!$AI$7:$AI$506,0)))</f>
        <v/>
      </c>
      <c r="Q43" s="34" t="n">
        <f aca="false">IF(L43&gt;$B$6,Q42,Q42+O43)</f>
        <v>22057.5</v>
      </c>
      <c r="R43" s="34" t="str">
        <f aca="false">IF(L43&gt;$B$6,"",Q43-MAX($Q$5:Q43))</f>
        <v/>
      </c>
    </row>
    <row r="44" customFormat="false" ht="15" hidden="false" customHeight="false" outlineLevel="0" collapsed="false">
      <c r="D44" s="43" t="str">
        <f aca="false">IF(D43="","",IF(EDATE(D43,1)&gt;MAX(Example!$AH$7:$AH$506),"",EDATE(D43,1)))</f>
        <v/>
      </c>
      <c r="E44" s="32" t="str">
        <f aca="false">IF(D44="","",COUNTIFS(Example!$AH$7:$AH$506,D44))</f>
        <v/>
      </c>
      <c r="F44" s="32" t="str">
        <f aca="false">IF(D44="","",COUNTIFS(Example!$AH$7:$AH$506,D44,Example!$AC$7:$AC$506,"&gt;0"))</f>
        <v/>
      </c>
      <c r="G44" s="33" t="str">
        <f aca="false">IF(N(E44)=0,"",F44/E44)</f>
        <v/>
      </c>
      <c r="H44" s="34" t="str">
        <f aca="false">IF(D44="","",SUMIFS(Example!$AC$7:$AC$506,Example!$AH$7:$AH$506,D44))</f>
        <v/>
      </c>
      <c r="I44" s="35" t="str">
        <f aca="false">IF(D44="","",SUMIFS(Example!$AD$7:$AD$506,Example!$AH$7:$AH$506,D44))</f>
        <v/>
      </c>
      <c r="J44" s="35" t="n">
        <f aca="false">IF(COUNTIFS(Example!$AH$7:$AH$506,D44,Example!$Z$7:$Z$506,"&gt;0")=0,"",SUMIFS(Example!$AD$7:$AD$506,Example!$AH$7:$AH$506,D44,Example!$Z$7:$Z$506,"&gt;0")/COUNTIFS(Example!$AH$7:$AH$506,D44,Example!$Z$7:$Z$506,"&gt;0"))</f>
        <v>0</v>
      </c>
      <c r="L44" s="0" t="n">
        <v>39</v>
      </c>
      <c r="M44" s="37" t="str">
        <f aca="false">IF(L44&gt;$B$6,"",INDEX(Example!$P$7:$P$506,MATCH(L44,Example!$AI$7:$AI$506,0)))</f>
        <v/>
      </c>
      <c r="N44" s="0" t="str">
        <f aca="false">IF(L44&gt;$B$6,"",INDEX(Example!$A$7:$A$506,MATCH(L44,Example!$AI$7:$AI$506,0)))</f>
        <v/>
      </c>
      <c r="O44" s="34" t="str">
        <f aca="false">IF(L44&gt;$B$6,"",INDEX(Example!$AC$7:$AC$506,MATCH(L44,Example!$AI$7:$AI$506,0)))</f>
        <v/>
      </c>
      <c r="P44" s="35" t="str">
        <f aca="false">IF(L44&gt;$B$6,"",INDEX(Example!$AD$7:$AD$506,MATCH(L44,Example!$AI$7:$AI$506,0)))</f>
        <v/>
      </c>
      <c r="Q44" s="34" t="n">
        <f aca="false">IF(L44&gt;$B$6,Q43,Q43+O44)</f>
        <v>22057.5</v>
      </c>
      <c r="R44" s="34" t="str">
        <f aca="false">IF(L44&gt;$B$6,"",Q44-MAX($Q$5:Q44))</f>
        <v/>
      </c>
    </row>
    <row r="45" customFormat="false" ht="15" hidden="false" customHeight="false" outlineLevel="0" collapsed="false">
      <c r="L45" s="0" t="n">
        <v>40</v>
      </c>
      <c r="M45" s="37" t="str">
        <f aca="false">IF(L45&gt;$B$6,"",INDEX(Example!$P$7:$P$506,MATCH(L45,Example!$AI$7:$AI$506,0)))</f>
        <v/>
      </c>
      <c r="N45" s="0" t="str">
        <f aca="false">IF(L45&gt;$B$6,"",INDEX(Example!$A$7:$A$506,MATCH(L45,Example!$AI$7:$AI$506,0)))</f>
        <v/>
      </c>
      <c r="O45" s="34" t="str">
        <f aca="false">IF(L45&gt;$B$6,"",INDEX(Example!$AC$7:$AC$506,MATCH(L45,Example!$AI$7:$AI$506,0)))</f>
        <v/>
      </c>
      <c r="P45" s="35" t="str">
        <f aca="false">IF(L45&gt;$B$6,"",INDEX(Example!$AD$7:$AD$506,MATCH(L45,Example!$AI$7:$AI$506,0)))</f>
        <v/>
      </c>
      <c r="Q45" s="34" t="n">
        <f aca="false">IF(L45&gt;$B$6,Q44,Q44+O45)</f>
        <v>22057.5</v>
      </c>
      <c r="R45" s="34" t="str">
        <f aca="false">IF(L45&gt;$B$6,"",Q45-MAX($Q$5:Q45))</f>
        <v/>
      </c>
    </row>
    <row r="46" customFormat="false" ht="15" hidden="false" customHeight="false" outlineLevel="0" collapsed="false">
      <c r="L46" s="0" t="n">
        <v>41</v>
      </c>
      <c r="M46" s="37" t="str">
        <f aca="false">IF(L46&gt;$B$6,"",INDEX(Example!$P$7:$P$506,MATCH(L46,Example!$AI$7:$AI$506,0)))</f>
        <v/>
      </c>
      <c r="N46" s="0" t="str">
        <f aca="false">IF(L46&gt;$B$6,"",INDEX(Example!$A$7:$A$506,MATCH(L46,Example!$AI$7:$AI$506,0)))</f>
        <v/>
      </c>
      <c r="O46" s="34" t="str">
        <f aca="false">IF(L46&gt;$B$6,"",INDEX(Example!$AC$7:$AC$506,MATCH(L46,Example!$AI$7:$AI$506,0)))</f>
        <v/>
      </c>
      <c r="P46" s="35" t="str">
        <f aca="false">IF(L46&gt;$B$6,"",INDEX(Example!$AD$7:$AD$506,MATCH(L46,Example!$AI$7:$AI$506,0)))</f>
        <v/>
      </c>
      <c r="Q46" s="34" t="n">
        <f aca="false">IF(L46&gt;$B$6,Q45,Q45+O46)</f>
        <v>22057.5</v>
      </c>
      <c r="R46" s="34" t="str">
        <f aca="false">IF(L46&gt;$B$6,"",Q46-MAX($Q$5:Q46))</f>
        <v/>
      </c>
    </row>
    <row r="47" customFormat="false" ht="15" hidden="false" customHeight="false" outlineLevel="0" collapsed="false">
      <c r="L47" s="0" t="n">
        <v>42</v>
      </c>
      <c r="M47" s="37" t="str">
        <f aca="false">IF(L47&gt;$B$6,"",INDEX(Example!$P$7:$P$506,MATCH(L47,Example!$AI$7:$AI$506,0)))</f>
        <v/>
      </c>
      <c r="N47" s="0" t="str">
        <f aca="false">IF(L47&gt;$B$6,"",INDEX(Example!$A$7:$A$506,MATCH(L47,Example!$AI$7:$AI$506,0)))</f>
        <v/>
      </c>
      <c r="O47" s="34" t="str">
        <f aca="false">IF(L47&gt;$B$6,"",INDEX(Example!$AC$7:$AC$506,MATCH(L47,Example!$AI$7:$AI$506,0)))</f>
        <v/>
      </c>
      <c r="P47" s="35" t="str">
        <f aca="false">IF(L47&gt;$B$6,"",INDEX(Example!$AD$7:$AD$506,MATCH(L47,Example!$AI$7:$AI$506,0)))</f>
        <v/>
      </c>
      <c r="Q47" s="34" t="n">
        <f aca="false">IF(L47&gt;$B$6,Q46,Q46+O47)</f>
        <v>22057.5</v>
      </c>
      <c r="R47" s="34" t="str">
        <f aca="false">IF(L47&gt;$B$6,"",Q47-MAX($Q$5:Q47))</f>
        <v/>
      </c>
    </row>
    <row r="48" customFormat="false" ht="15" hidden="false" customHeight="false" outlineLevel="0" collapsed="false">
      <c r="L48" s="0" t="n">
        <v>43</v>
      </c>
      <c r="M48" s="37" t="str">
        <f aca="false">IF(L48&gt;$B$6,"",INDEX(Example!$P$7:$P$506,MATCH(L48,Example!$AI$7:$AI$506,0)))</f>
        <v/>
      </c>
      <c r="N48" s="0" t="str">
        <f aca="false">IF(L48&gt;$B$6,"",INDEX(Example!$A$7:$A$506,MATCH(L48,Example!$AI$7:$AI$506,0)))</f>
        <v/>
      </c>
      <c r="O48" s="34" t="str">
        <f aca="false">IF(L48&gt;$B$6,"",INDEX(Example!$AC$7:$AC$506,MATCH(L48,Example!$AI$7:$AI$506,0)))</f>
        <v/>
      </c>
      <c r="P48" s="35" t="str">
        <f aca="false">IF(L48&gt;$B$6,"",INDEX(Example!$AD$7:$AD$506,MATCH(L48,Example!$AI$7:$AI$506,0)))</f>
        <v/>
      </c>
      <c r="Q48" s="34" t="n">
        <f aca="false">IF(L48&gt;$B$6,Q47,Q47+O48)</f>
        <v>22057.5</v>
      </c>
      <c r="R48" s="34" t="str">
        <f aca="false">IF(L48&gt;$B$6,"",Q48-MAX($Q$5:Q48))</f>
        <v/>
      </c>
    </row>
    <row r="49" customFormat="false" ht="15" hidden="false" customHeight="false" outlineLevel="0" collapsed="false">
      <c r="L49" s="0" t="n">
        <v>44</v>
      </c>
      <c r="M49" s="37" t="str">
        <f aca="false">IF(L49&gt;$B$6,"",INDEX(Example!$P$7:$P$506,MATCH(L49,Example!$AI$7:$AI$506,0)))</f>
        <v/>
      </c>
      <c r="N49" s="0" t="str">
        <f aca="false">IF(L49&gt;$B$6,"",INDEX(Example!$A$7:$A$506,MATCH(L49,Example!$AI$7:$AI$506,0)))</f>
        <v/>
      </c>
      <c r="O49" s="34" t="str">
        <f aca="false">IF(L49&gt;$B$6,"",INDEX(Example!$AC$7:$AC$506,MATCH(L49,Example!$AI$7:$AI$506,0)))</f>
        <v/>
      </c>
      <c r="P49" s="35" t="str">
        <f aca="false">IF(L49&gt;$B$6,"",INDEX(Example!$AD$7:$AD$506,MATCH(L49,Example!$AI$7:$AI$506,0)))</f>
        <v/>
      </c>
      <c r="Q49" s="34" t="n">
        <f aca="false">IF(L49&gt;$B$6,Q48,Q48+O49)</f>
        <v>22057.5</v>
      </c>
      <c r="R49" s="34" t="str">
        <f aca="false">IF(L49&gt;$B$6,"",Q49-MAX($Q$5:Q49))</f>
        <v/>
      </c>
    </row>
    <row r="50" customFormat="false" ht="15" hidden="false" customHeight="false" outlineLevel="0" collapsed="false">
      <c r="L50" s="0" t="n">
        <v>45</v>
      </c>
      <c r="M50" s="37" t="str">
        <f aca="false">IF(L50&gt;$B$6,"",INDEX(Example!$P$7:$P$506,MATCH(L50,Example!$AI$7:$AI$506,0)))</f>
        <v/>
      </c>
      <c r="N50" s="0" t="str">
        <f aca="false">IF(L50&gt;$B$6,"",INDEX(Example!$A$7:$A$506,MATCH(L50,Example!$AI$7:$AI$506,0)))</f>
        <v/>
      </c>
      <c r="O50" s="34" t="str">
        <f aca="false">IF(L50&gt;$B$6,"",INDEX(Example!$AC$7:$AC$506,MATCH(L50,Example!$AI$7:$AI$506,0)))</f>
        <v/>
      </c>
      <c r="P50" s="35" t="str">
        <f aca="false">IF(L50&gt;$B$6,"",INDEX(Example!$AD$7:$AD$506,MATCH(L50,Example!$AI$7:$AI$506,0)))</f>
        <v/>
      </c>
      <c r="Q50" s="34" t="n">
        <f aca="false">IF(L50&gt;$B$6,Q49,Q49+O50)</f>
        <v>22057.5</v>
      </c>
      <c r="R50" s="34" t="str">
        <f aca="false">IF(L50&gt;$B$6,"",Q50-MAX($Q$5:Q50))</f>
        <v/>
      </c>
    </row>
    <row r="51" customFormat="false" ht="15" hidden="false" customHeight="false" outlineLevel="0" collapsed="false">
      <c r="L51" s="0" t="n">
        <v>46</v>
      </c>
      <c r="M51" s="37" t="str">
        <f aca="false">IF(L51&gt;$B$6,"",INDEX(Example!$P$7:$P$506,MATCH(L51,Example!$AI$7:$AI$506,0)))</f>
        <v/>
      </c>
      <c r="N51" s="0" t="str">
        <f aca="false">IF(L51&gt;$B$6,"",INDEX(Example!$A$7:$A$506,MATCH(L51,Example!$AI$7:$AI$506,0)))</f>
        <v/>
      </c>
      <c r="O51" s="34" t="str">
        <f aca="false">IF(L51&gt;$B$6,"",INDEX(Example!$AC$7:$AC$506,MATCH(L51,Example!$AI$7:$AI$506,0)))</f>
        <v/>
      </c>
      <c r="P51" s="35" t="str">
        <f aca="false">IF(L51&gt;$B$6,"",INDEX(Example!$AD$7:$AD$506,MATCH(L51,Example!$AI$7:$AI$506,0)))</f>
        <v/>
      </c>
      <c r="Q51" s="34" t="n">
        <f aca="false">IF(L51&gt;$B$6,Q50,Q50+O51)</f>
        <v>22057.5</v>
      </c>
      <c r="R51" s="34" t="str">
        <f aca="false">IF(L51&gt;$B$6,"",Q51-MAX($Q$5:Q51))</f>
        <v/>
      </c>
    </row>
    <row r="52" customFormat="false" ht="15" hidden="false" customHeight="false" outlineLevel="0" collapsed="false">
      <c r="L52" s="0" t="n">
        <v>47</v>
      </c>
      <c r="M52" s="37" t="str">
        <f aca="false">IF(L52&gt;$B$6,"",INDEX(Example!$P$7:$P$506,MATCH(L52,Example!$AI$7:$AI$506,0)))</f>
        <v/>
      </c>
      <c r="N52" s="0" t="str">
        <f aca="false">IF(L52&gt;$B$6,"",INDEX(Example!$A$7:$A$506,MATCH(L52,Example!$AI$7:$AI$506,0)))</f>
        <v/>
      </c>
      <c r="O52" s="34" t="str">
        <f aca="false">IF(L52&gt;$B$6,"",INDEX(Example!$AC$7:$AC$506,MATCH(L52,Example!$AI$7:$AI$506,0)))</f>
        <v/>
      </c>
      <c r="P52" s="35" t="str">
        <f aca="false">IF(L52&gt;$B$6,"",INDEX(Example!$AD$7:$AD$506,MATCH(L52,Example!$AI$7:$AI$506,0)))</f>
        <v/>
      </c>
      <c r="Q52" s="34" t="n">
        <f aca="false">IF(L52&gt;$B$6,Q51,Q51+O52)</f>
        <v>22057.5</v>
      </c>
      <c r="R52" s="34" t="str">
        <f aca="false">IF(L52&gt;$B$6,"",Q52-MAX($Q$5:Q52))</f>
        <v/>
      </c>
    </row>
    <row r="53" customFormat="false" ht="15" hidden="false" customHeight="false" outlineLevel="0" collapsed="false">
      <c r="L53" s="0" t="n">
        <v>48</v>
      </c>
      <c r="M53" s="37" t="str">
        <f aca="false">IF(L53&gt;$B$6,"",INDEX(Example!$P$7:$P$506,MATCH(L53,Example!$AI$7:$AI$506,0)))</f>
        <v/>
      </c>
      <c r="N53" s="0" t="str">
        <f aca="false">IF(L53&gt;$B$6,"",INDEX(Example!$A$7:$A$506,MATCH(L53,Example!$AI$7:$AI$506,0)))</f>
        <v/>
      </c>
      <c r="O53" s="34" t="str">
        <f aca="false">IF(L53&gt;$B$6,"",INDEX(Example!$AC$7:$AC$506,MATCH(L53,Example!$AI$7:$AI$506,0)))</f>
        <v/>
      </c>
      <c r="P53" s="35" t="str">
        <f aca="false">IF(L53&gt;$B$6,"",INDEX(Example!$AD$7:$AD$506,MATCH(L53,Example!$AI$7:$AI$506,0)))</f>
        <v/>
      </c>
      <c r="Q53" s="34" t="n">
        <f aca="false">IF(L53&gt;$B$6,Q52,Q52+O53)</f>
        <v>22057.5</v>
      </c>
      <c r="R53" s="34" t="str">
        <f aca="false">IF(L53&gt;$B$6,"",Q53-MAX($Q$5:Q53))</f>
        <v/>
      </c>
    </row>
    <row r="54" customFormat="false" ht="15" hidden="false" customHeight="false" outlineLevel="0" collapsed="false">
      <c r="L54" s="0" t="n">
        <v>49</v>
      </c>
      <c r="M54" s="37" t="str">
        <f aca="false">IF(L54&gt;$B$6,"",INDEX(Example!$P$7:$P$506,MATCH(L54,Example!$AI$7:$AI$506,0)))</f>
        <v/>
      </c>
      <c r="N54" s="0" t="str">
        <f aca="false">IF(L54&gt;$B$6,"",INDEX(Example!$A$7:$A$506,MATCH(L54,Example!$AI$7:$AI$506,0)))</f>
        <v/>
      </c>
      <c r="O54" s="34" t="str">
        <f aca="false">IF(L54&gt;$B$6,"",INDEX(Example!$AC$7:$AC$506,MATCH(L54,Example!$AI$7:$AI$506,0)))</f>
        <v/>
      </c>
      <c r="P54" s="35" t="str">
        <f aca="false">IF(L54&gt;$B$6,"",INDEX(Example!$AD$7:$AD$506,MATCH(L54,Example!$AI$7:$AI$506,0)))</f>
        <v/>
      </c>
      <c r="Q54" s="34" t="n">
        <f aca="false">IF(L54&gt;$B$6,Q53,Q53+O54)</f>
        <v>22057.5</v>
      </c>
      <c r="R54" s="34" t="str">
        <f aca="false">IF(L54&gt;$B$6,"",Q54-MAX($Q$5:Q54))</f>
        <v/>
      </c>
    </row>
    <row r="55" customFormat="false" ht="15" hidden="false" customHeight="false" outlineLevel="0" collapsed="false">
      <c r="L55" s="0" t="n">
        <v>50</v>
      </c>
      <c r="M55" s="37" t="str">
        <f aca="false">IF(L55&gt;$B$6,"",INDEX(Example!$P$7:$P$506,MATCH(L55,Example!$AI$7:$AI$506,0)))</f>
        <v/>
      </c>
      <c r="N55" s="0" t="str">
        <f aca="false">IF(L55&gt;$B$6,"",INDEX(Example!$A$7:$A$506,MATCH(L55,Example!$AI$7:$AI$506,0)))</f>
        <v/>
      </c>
      <c r="O55" s="34" t="str">
        <f aca="false">IF(L55&gt;$B$6,"",INDEX(Example!$AC$7:$AC$506,MATCH(L55,Example!$AI$7:$AI$506,0)))</f>
        <v/>
      </c>
      <c r="P55" s="35" t="str">
        <f aca="false">IF(L55&gt;$B$6,"",INDEX(Example!$AD$7:$AD$506,MATCH(L55,Example!$AI$7:$AI$506,0)))</f>
        <v/>
      </c>
      <c r="Q55" s="34" t="n">
        <f aca="false">IF(L55&gt;$B$6,Q54,Q54+O55)</f>
        <v>22057.5</v>
      </c>
      <c r="R55" s="34" t="str">
        <f aca="false">IF(L55&gt;$B$6,"",Q55-MAX($Q$5:Q55))</f>
        <v/>
      </c>
    </row>
    <row r="56" customFormat="false" ht="15" hidden="false" customHeight="false" outlineLevel="0" collapsed="false">
      <c r="L56" s="0" t="n">
        <v>51</v>
      </c>
      <c r="M56" s="37" t="str">
        <f aca="false">IF(L56&gt;$B$6,"",INDEX(Example!$P$7:$P$506,MATCH(L56,Example!$AI$7:$AI$506,0)))</f>
        <v/>
      </c>
      <c r="N56" s="0" t="str">
        <f aca="false">IF(L56&gt;$B$6,"",INDEX(Example!$A$7:$A$506,MATCH(L56,Example!$AI$7:$AI$506,0)))</f>
        <v/>
      </c>
      <c r="O56" s="34" t="str">
        <f aca="false">IF(L56&gt;$B$6,"",INDEX(Example!$AC$7:$AC$506,MATCH(L56,Example!$AI$7:$AI$506,0)))</f>
        <v/>
      </c>
      <c r="P56" s="35" t="str">
        <f aca="false">IF(L56&gt;$B$6,"",INDEX(Example!$AD$7:$AD$506,MATCH(L56,Example!$AI$7:$AI$506,0)))</f>
        <v/>
      </c>
      <c r="Q56" s="34" t="n">
        <f aca="false">IF(L56&gt;$B$6,Q55,Q55+O56)</f>
        <v>22057.5</v>
      </c>
      <c r="R56" s="34" t="str">
        <f aca="false">IF(L56&gt;$B$6,"",Q56-MAX($Q$5:Q56))</f>
        <v/>
      </c>
    </row>
    <row r="57" customFormat="false" ht="15" hidden="false" customHeight="false" outlineLevel="0" collapsed="false">
      <c r="L57" s="0" t="n">
        <v>52</v>
      </c>
      <c r="M57" s="37" t="str">
        <f aca="false">IF(L57&gt;$B$6,"",INDEX(Example!$P$7:$P$506,MATCH(L57,Example!$AI$7:$AI$506,0)))</f>
        <v/>
      </c>
      <c r="N57" s="0" t="str">
        <f aca="false">IF(L57&gt;$B$6,"",INDEX(Example!$A$7:$A$506,MATCH(L57,Example!$AI$7:$AI$506,0)))</f>
        <v/>
      </c>
      <c r="O57" s="34" t="str">
        <f aca="false">IF(L57&gt;$B$6,"",INDEX(Example!$AC$7:$AC$506,MATCH(L57,Example!$AI$7:$AI$506,0)))</f>
        <v/>
      </c>
      <c r="P57" s="35" t="str">
        <f aca="false">IF(L57&gt;$B$6,"",INDEX(Example!$AD$7:$AD$506,MATCH(L57,Example!$AI$7:$AI$506,0)))</f>
        <v/>
      </c>
      <c r="Q57" s="34" t="n">
        <f aca="false">IF(L57&gt;$B$6,Q56,Q56+O57)</f>
        <v>22057.5</v>
      </c>
      <c r="R57" s="34" t="str">
        <f aca="false">IF(L57&gt;$B$6,"",Q57-MAX($Q$5:Q57))</f>
        <v/>
      </c>
    </row>
    <row r="58" customFormat="false" ht="15" hidden="false" customHeight="false" outlineLevel="0" collapsed="false">
      <c r="L58" s="0" t="n">
        <v>53</v>
      </c>
      <c r="M58" s="37" t="str">
        <f aca="false">IF(L58&gt;$B$6,"",INDEX(Example!$P$7:$P$506,MATCH(L58,Example!$AI$7:$AI$506,0)))</f>
        <v/>
      </c>
      <c r="N58" s="0" t="str">
        <f aca="false">IF(L58&gt;$B$6,"",INDEX(Example!$A$7:$A$506,MATCH(L58,Example!$AI$7:$AI$506,0)))</f>
        <v/>
      </c>
      <c r="O58" s="34" t="str">
        <f aca="false">IF(L58&gt;$B$6,"",INDEX(Example!$AC$7:$AC$506,MATCH(L58,Example!$AI$7:$AI$506,0)))</f>
        <v/>
      </c>
      <c r="P58" s="35" t="str">
        <f aca="false">IF(L58&gt;$B$6,"",INDEX(Example!$AD$7:$AD$506,MATCH(L58,Example!$AI$7:$AI$506,0)))</f>
        <v/>
      </c>
      <c r="Q58" s="34" t="n">
        <f aca="false">IF(L58&gt;$B$6,Q57,Q57+O58)</f>
        <v>22057.5</v>
      </c>
      <c r="R58" s="34" t="str">
        <f aca="false">IF(L58&gt;$B$6,"",Q58-MAX($Q$5:Q58))</f>
        <v/>
      </c>
    </row>
    <row r="59" customFormat="false" ht="15" hidden="false" customHeight="false" outlineLevel="0" collapsed="false">
      <c r="L59" s="0" t="n">
        <v>54</v>
      </c>
      <c r="M59" s="37" t="str">
        <f aca="false">IF(L59&gt;$B$6,"",INDEX(Example!$P$7:$P$506,MATCH(L59,Example!$AI$7:$AI$506,0)))</f>
        <v/>
      </c>
      <c r="N59" s="0" t="str">
        <f aca="false">IF(L59&gt;$B$6,"",INDEX(Example!$A$7:$A$506,MATCH(L59,Example!$AI$7:$AI$506,0)))</f>
        <v/>
      </c>
      <c r="O59" s="34" t="str">
        <f aca="false">IF(L59&gt;$B$6,"",INDEX(Example!$AC$7:$AC$506,MATCH(L59,Example!$AI$7:$AI$506,0)))</f>
        <v/>
      </c>
      <c r="P59" s="35" t="str">
        <f aca="false">IF(L59&gt;$B$6,"",INDEX(Example!$AD$7:$AD$506,MATCH(L59,Example!$AI$7:$AI$506,0)))</f>
        <v/>
      </c>
      <c r="Q59" s="34" t="n">
        <f aca="false">IF(L59&gt;$B$6,Q58,Q58+O59)</f>
        <v>22057.5</v>
      </c>
      <c r="R59" s="34" t="str">
        <f aca="false">IF(L59&gt;$B$6,"",Q59-MAX($Q$5:Q59))</f>
        <v/>
      </c>
    </row>
    <row r="60" customFormat="false" ht="15" hidden="false" customHeight="false" outlineLevel="0" collapsed="false">
      <c r="L60" s="0" t="n">
        <v>55</v>
      </c>
      <c r="M60" s="37" t="str">
        <f aca="false">IF(L60&gt;$B$6,"",INDEX(Example!$P$7:$P$506,MATCH(L60,Example!$AI$7:$AI$506,0)))</f>
        <v/>
      </c>
      <c r="N60" s="0" t="str">
        <f aca="false">IF(L60&gt;$B$6,"",INDEX(Example!$A$7:$A$506,MATCH(L60,Example!$AI$7:$AI$506,0)))</f>
        <v/>
      </c>
      <c r="O60" s="34" t="str">
        <f aca="false">IF(L60&gt;$B$6,"",INDEX(Example!$AC$7:$AC$506,MATCH(L60,Example!$AI$7:$AI$506,0)))</f>
        <v/>
      </c>
      <c r="P60" s="35" t="str">
        <f aca="false">IF(L60&gt;$B$6,"",INDEX(Example!$AD$7:$AD$506,MATCH(L60,Example!$AI$7:$AI$506,0)))</f>
        <v/>
      </c>
      <c r="Q60" s="34" t="n">
        <f aca="false">IF(L60&gt;$B$6,Q59,Q59+O60)</f>
        <v>22057.5</v>
      </c>
      <c r="R60" s="34" t="str">
        <f aca="false">IF(L60&gt;$B$6,"",Q60-MAX($Q$5:Q60))</f>
        <v/>
      </c>
    </row>
    <row r="61" customFormat="false" ht="15" hidden="false" customHeight="false" outlineLevel="0" collapsed="false">
      <c r="L61" s="0" t="n">
        <v>56</v>
      </c>
      <c r="M61" s="37" t="str">
        <f aca="false">IF(L61&gt;$B$6,"",INDEX(Example!$P$7:$P$506,MATCH(L61,Example!$AI$7:$AI$506,0)))</f>
        <v/>
      </c>
      <c r="N61" s="0" t="str">
        <f aca="false">IF(L61&gt;$B$6,"",INDEX(Example!$A$7:$A$506,MATCH(L61,Example!$AI$7:$AI$506,0)))</f>
        <v/>
      </c>
      <c r="O61" s="34" t="str">
        <f aca="false">IF(L61&gt;$B$6,"",INDEX(Example!$AC$7:$AC$506,MATCH(L61,Example!$AI$7:$AI$506,0)))</f>
        <v/>
      </c>
      <c r="P61" s="35" t="str">
        <f aca="false">IF(L61&gt;$B$6,"",INDEX(Example!$AD$7:$AD$506,MATCH(L61,Example!$AI$7:$AI$506,0)))</f>
        <v/>
      </c>
      <c r="Q61" s="34" t="n">
        <f aca="false">IF(L61&gt;$B$6,Q60,Q60+O61)</f>
        <v>22057.5</v>
      </c>
      <c r="R61" s="34" t="str">
        <f aca="false">IF(L61&gt;$B$6,"",Q61-MAX($Q$5:Q61))</f>
        <v/>
      </c>
    </row>
    <row r="62" customFormat="false" ht="15" hidden="false" customHeight="false" outlineLevel="0" collapsed="false">
      <c r="L62" s="0" t="n">
        <v>57</v>
      </c>
      <c r="M62" s="37" t="str">
        <f aca="false">IF(L62&gt;$B$6,"",INDEX(Example!$P$7:$P$506,MATCH(L62,Example!$AI$7:$AI$506,0)))</f>
        <v/>
      </c>
      <c r="N62" s="0" t="str">
        <f aca="false">IF(L62&gt;$B$6,"",INDEX(Example!$A$7:$A$506,MATCH(L62,Example!$AI$7:$AI$506,0)))</f>
        <v/>
      </c>
      <c r="O62" s="34" t="str">
        <f aca="false">IF(L62&gt;$B$6,"",INDEX(Example!$AC$7:$AC$506,MATCH(L62,Example!$AI$7:$AI$506,0)))</f>
        <v/>
      </c>
      <c r="P62" s="35" t="str">
        <f aca="false">IF(L62&gt;$B$6,"",INDEX(Example!$AD$7:$AD$506,MATCH(L62,Example!$AI$7:$AI$506,0)))</f>
        <v/>
      </c>
      <c r="Q62" s="34" t="n">
        <f aca="false">IF(L62&gt;$B$6,Q61,Q61+O62)</f>
        <v>22057.5</v>
      </c>
      <c r="R62" s="34" t="str">
        <f aca="false">IF(L62&gt;$B$6,"",Q62-MAX($Q$5:Q62))</f>
        <v/>
      </c>
    </row>
    <row r="63" customFormat="false" ht="15" hidden="false" customHeight="false" outlineLevel="0" collapsed="false">
      <c r="L63" s="0" t="n">
        <v>58</v>
      </c>
      <c r="M63" s="37" t="str">
        <f aca="false">IF(L63&gt;$B$6,"",INDEX(Example!$P$7:$P$506,MATCH(L63,Example!$AI$7:$AI$506,0)))</f>
        <v/>
      </c>
      <c r="N63" s="0" t="str">
        <f aca="false">IF(L63&gt;$B$6,"",INDEX(Example!$A$7:$A$506,MATCH(L63,Example!$AI$7:$AI$506,0)))</f>
        <v/>
      </c>
      <c r="O63" s="34" t="str">
        <f aca="false">IF(L63&gt;$B$6,"",INDEX(Example!$AC$7:$AC$506,MATCH(L63,Example!$AI$7:$AI$506,0)))</f>
        <v/>
      </c>
      <c r="P63" s="35" t="str">
        <f aca="false">IF(L63&gt;$B$6,"",INDEX(Example!$AD$7:$AD$506,MATCH(L63,Example!$AI$7:$AI$506,0)))</f>
        <v/>
      </c>
      <c r="Q63" s="34" t="n">
        <f aca="false">IF(L63&gt;$B$6,Q62,Q62+O63)</f>
        <v>22057.5</v>
      </c>
      <c r="R63" s="34" t="str">
        <f aca="false">IF(L63&gt;$B$6,"",Q63-MAX($Q$5:Q63))</f>
        <v/>
      </c>
    </row>
    <row r="64" customFormat="false" ht="15" hidden="false" customHeight="false" outlineLevel="0" collapsed="false">
      <c r="L64" s="0" t="n">
        <v>59</v>
      </c>
      <c r="M64" s="37" t="str">
        <f aca="false">IF(L64&gt;$B$6,"",INDEX(Example!$P$7:$P$506,MATCH(L64,Example!$AI$7:$AI$506,0)))</f>
        <v/>
      </c>
      <c r="N64" s="0" t="str">
        <f aca="false">IF(L64&gt;$B$6,"",INDEX(Example!$A$7:$A$506,MATCH(L64,Example!$AI$7:$AI$506,0)))</f>
        <v/>
      </c>
      <c r="O64" s="34" t="str">
        <f aca="false">IF(L64&gt;$B$6,"",INDEX(Example!$AC$7:$AC$506,MATCH(L64,Example!$AI$7:$AI$506,0)))</f>
        <v/>
      </c>
      <c r="P64" s="35" t="str">
        <f aca="false">IF(L64&gt;$B$6,"",INDEX(Example!$AD$7:$AD$506,MATCH(L64,Example!$AI$7:$AI$506,0)))</f>
        <v/>
      </c>
      <c r="Q64" s="34" t="n">
        <f aca="false">IF(L64&gt;$B$6,Q63,Q63+O64)</f>
        <v>22057.5</v>
      </c>
      <c r="R64" s="34" t="str">
        <f aca="false">IF(L64&gt;$B$6,"",Q64-MAX($Q$5:Q64))</f>
        <v/>
      </c>
    </row>
    <row r="65" customFormat="false" ht="15" hidden="false" customHeight="false" outlineLevel="0" collapsed="false">
      <c r="L65" s="0" t="n">
        <v>60</v>
      </c>
      <c r="M65" s="37" t="str">
        <f aca="false">IF(L65&gt;$B$6,"",INDEX(Example!$P$7:$P$506,MATCH(L65,Example!$AI$7:$AI$506,0)))</f>
        <v/>
      </c>
      <c r="N65" s="0" t="str">
        <f aca="false">IF(L65&gt;$B$6,"",INDEX(Example!$A$7:$A$506,MATCH(L65,Example!$AI$7:$AI$506,0)))</f>
        <v/>
      </c>
      <c r="O65" s="34" t="str">
        <f aca="false">IF(L65&gt;$B$6,"",INDEX(Example!$AC$7:$AC$506,MATCH(L65,Example!$AI$7:$AI$506,0)))</f>
        <v/>
      </c>
      <c r="P65" s="35" t="str">
        <f aca="false">IF(L65&gt;$B$6,"",INDEX(Example!$AD$7:$AD$506,MATCH(L65,Example!$AI$7:$AI$506,0)))</f>
        <v/>
      </c>
      <c r="Q65" s="34" t="n">
        <f aca="false">IF(L65&gt;$B$6,Q64,Q64+O65)</f>
        <v>22057.5</v>
      </c>
      <c r="R65" s="34" t="str">
        <f aca="false">IF(L65&gt;$B$6,"",Q65-MAX($Q$5:Q65))</f>
        <v/>
      </c>
    </row>
    <row r="66" customFormat="false" ht="15" hidden="false" customHeight="false" outlineLevel="0" collapsed="false">
      <c r="L66" s="0" t="n">
        <v>61</v>
      </c>
      <c r="M66" s="37" t="str">
        <f aca="false">IF(L66&gt;$B$6,"",INDEX(Example!$P$7:$P$506,MATCH(L66,Example!$AI$7:$AI$506,0)))</f>
        <v/>
      </c>
      <c r="N66" s="0" t="str">
        <f aca="false">IF(L66&gt;$B$6,"",INDEX(Example!$A$7:$A$506,MATCH(L66,Example!$AI$7:$AI$506,0)))</f>
        <v/>
      </c>
      <c r="O66" s="34" t="str">
        <f aca="false">IF(L66&gt;$B$6,"",INDEX(Example!$AC$7:$AC$506,MATCH(L66,Example!$AI$7:$AI$506,0)))</f>
        <v/>
      </c>
      <c r="P66" s="35" t="str">
        <f aca="false">IF(L66&gt;$B$6,"",INDEX(Example!$AD$7:$AD$506,MATCH(L66,Example!$AI$7:$AI$506,0)))</f>
        <v/>
      </c>
      <c r="Q66" s="34" t="n">
        <f aca="false">IF(L66&gt;$B$6,Q65,Q65+O66)</f>
        <v>22057.5</v>
      </c>
      <c r="R66" s="34" t="str">
        <f aca="false">IF(L66&gt;$B$6,"",Q66-MAX($Q$5:Q66))</f>
        <v/>
      </c>
    </row>
    <row r="67" customFormat="false" ht="15" hidden="false" customHeight="false" outlineLevel="0" collapsed="false">
      <c r="L67" s="0" t="n">
        <v>62</v>
      </c>
      <c r="M67" s="37" t="str">
        <f aca="false">IF(L67&gt;$B$6,"",INDEX(Example!$P$7:$P$506,MATCH(L67,Example!$AI$7:$AI$506,0)))</f>
        <v/>
      </c>
      <c r="N67" s="0" t="str">
        <f aca="false">IF(L67&gt;$B$6,"",INDEX(Example!$A$7:$A$506,MATCH(L67,Example!$AI$7:$AI$506,0)))</f>
        <v/>
      </c>
      <c r="O67" s="34" t="str">
        <f aca="false">IF(L67&gt;$B$6,"",INDEX(Example!$AC$7:$AC$506,MATCH(L67,Example!$AI$7:$AI$506,0)))</f>
        <v/>
      </c>
      <c r="P67" s="35" t="str">
        <f aca="false">IF(L67&gt;$B$6,"",INDEX(Example!$AD$7:$AD$506,MATCH(L67,Example!$AI$7:$AI$506,0)))</f>
        <v/>
      </c>
      <c r="Q67" s="34" t="n">
        <f aca="false">IF(L67&gt;$B$6,Q66,Q66+O67)</f>
        <v>22057.5</v>
      </c>
      <c r="R67" s="34" t="str">
        <f aca="false">IF(L67&gt;$B$6,"",Q67-MAX($Q$5:Q67))</f>
        <v/>
      </c>
    </row>
    <row r="68" customFormat="false" ht="15" hidden="false" customHeight="false" outlineLevel="0" collapsed="false">
      <c r="L68" s="0" t="n">
        <v>63</v>
      </c>
      <c r="M68" s="37" t="str">
        <f aca="false">IF(L68&gt;$B$6,"",INDEX(Example!$P$7:$P$506,MATCH(L68,Example!$AI$7:$AI$506,0)))</f>
        <v/>
      </c>
      <c r="N68" s="0" t="str">
        <f aca="false">IF(L68&gt;$B$6,"",INDEX(Example!$A$7:$A$506,MATCH(L68,Example!$AI$7:$AI$506,0)))</f>
        <v/>
      </c>
      <c r="O68" s="34" t="str">
        <f aca="false">IF(L68&gt;$B$6,"",INDEX(Example!$AC$7:$AC$506,MATCH(L68,Example!$AI$7:$AI$506,0)))</f>
        <v/>
      </c>
      <c r="P68" s="35" t="str">
        <f aca="false">IF(L68&gt;$B$6,"",INDEX(Example!$AD$7:$AD$506,MATCH(L68,Example!$AI$7:$AI$506,0)))</f>
        <v/>
      </c>
      <c r="Q68" s="34" t="n">
        <f aca="false">IF(L68&gt;$B$6,Q67,Q67+O68)</f>
        <v>22057.5</v>
      </c>
      <c r="R68" s="34" t="str">
        <f aca="false">IF(L68&gt;$B$6,"",Q68-MAX($Q$5:Q68))</f>
        <v/>
      </c>
    </row>
    <row r="69" customFormat="false" ht="15" hidden="false" customHeight="false" outlineLevel="0" collapsed="false">
      <c r="L69" s="0" t="n">
        <v>64</v>
      </c>
      <c r="M69" s="37" t="str">
        <f aca="false">IF(L69&gt;$B$6,"",INDEX(Example!$P$7:$P$506,MATCH(L69,Example!$AI$7:$AI$506,0)))</f>
        <v/>
      </c>
      <c r="N69" s="0" t="str">
        <f aca="false">IF(L69&gt;$B$6,"",INDEX(Example!$A$7:$A$506,MATCH(L69,Example!$AI$7:$AI$506,0)))</f>
        <v/>
      </c>
      <c r="O69" s="34" t="str">
        <f aca="false">IF(L69&gt;$B$6,"",INDEX(Example!$AC$7:$AC$506,MATCH(L69,Example!$AI$7:$AI$506,0)))</f>
        <v/>
      </c>
      <c r="P69" s="35" t="str">
        <f aca="false">IF(L69&gt;$B$6,"",INDEX(Example!$AD$7:$AD$506,MATCH(L69,Example!$AI$7:$AI$506,0)))</f>
        <v/>
      </c>
      <c r="Q69" s="34" t="n">
        <f aca="false">IF(L69&gt;$B$6,Q68,Q68+O69)</f>
        <v>22057.5</v>
      </c>
      <c r="R69" s="34" t="str">
        <f aca="false">IF(L69&gt;$B$6,"",Q69-MAX($Q$5:Q69))</f>
        <v/>
      </c>
    </row>
    <row r="70" customFormat="false" ht="15" hidden="false" customHeight="false" outlineLevel="0" collapsed="false">
      <c r="L70" s="0" t="n">
        <v>65</v>
      </c>
      <c r="M70" s="37" t="str">
        <f aca="false">IF(L70&gt;$B$6,"",INDEX(Example!$P$7:$P$506,MATCH(L70,Example!$AI$7:$AI$506,0)))</f>
        <v/>
      </c>
      <c r="N70" s="0" t="str">
        <f aca="false">IF(L70&gt;$B$6,"",INDEX(Example!$A$7:$A$506,MATCH(L70,Example!$AI$7:$AI$506,0)))</f>
        <v/>
      </c>
      <c r="O70" s="34" t="str">
        <f aca="false">IF(L70&gt;$B$6,"",INDEX(Example!$AC$7:$AC$506,MATCH(L70,Example!$AI$7:$AI$506,0)))</f>
        <v/>
      </c>
      <c r="P70" s="35" t="str">
        <f aca="false">IF(L70&gt;$B$6,"",INDEX(Example!$AD$7:$AD$506,MATCH(L70,Example!$AI$7:$AI$506,0)))</f>
        <v/>
      </c>
      <c r="Q70" s="34" t="n">
        <f aca="false">IF(L70&gt;$B$6,Q69,Q69+O70)</f>
        <v>22057.5</v>
      </c>
      <c r="R70" s="34" t="str">
        <f aca="false">IF(L70&gt;$B$6,"",Q70-MAX($Q$5:Q70))</f>
        <v/>
      </c>
    </row>
    <row r="71" customFormat="false" ht="15" hidden="false" customHeight="false" outlineLevel="0" collapsed="false">
      <c r="L71" s="0" t="n">
        <v>66</v>
      </c>
      <c r="M71" s="37" t="str">
        <f aca="false">IF(L71&gt;$B$6,"",INDEX(Example!$P$7:$P$506,MATCH(L71,Example!$AI$7:$AI$506,0)))</f>
        <v/>
      </c>
      <c r="N71" s="0" t="str">
        <f aca="false">IF(L71&gt;$B$6,"",INDEX(Example!$A$7:$A$506,MATCH(L71,Example!$AI$7:$AI$506,0)))</f>
        <v/>
      </c>
      <c r="O71" s="34" t="str">
        <f aca="false">IF(L71&gt;$B$6,"",INDEX(Example!$AC$7:$AC$506,MATCH(L71,Example!$AI$7:$AI$506,0)))</f>
        <v/>
      </c>
      <c r="P71" s="35" t="str">
        <f aca="false">IF(L71&gt;$B$6,"",INDEX(Example!$AD$7:$AD$506,MATCH(L71,Example!$AI$7:$AI$506,0)))</f>
        <v/>
      </c>
      <c r="Q71" s="34" t="n">
        <f aca="false">IF(L71&gt;$B$6,Q70,Q70+O71)</f>
        <v>22057.5</v>
      </c>
      <c r="R71" s="34" t="str">
        <f aca="false">IF(L71&gt;$B$6,"",Q71-MAX($Q$5:Q71))</f>
        <v/>
      </c>
    </row>
    <row r="72" customFormat="false" ht="15" hidden="false" customHeight="false" outlineLevel="0" collapsed="false">
      <c r="L72" s="0" t="n">
        <v>67</v>
      </c>
      <c r="M72" s="37" t="str">
        <f aca="false">IF(L72&gt;$B$6,"",INDEX(Example!$P$7:$P$506,MATCH(L72,Example!$AI$7:$AI$506,0)))</f>
        <v/>
      </c>
      <c r="N72" s="0" t="str">
        <f aca="false">IF(L72&gt;$B$6,"",INDEX(Example!$A$7:$A$506,MATCH(L72,Example!$AI$7:$AI$506,0)))</f>
        <v/>
      </c>
      <c r="O72" s="34" t="str">
        <f aca="false">IF(L72&gt;$B$6,"",INDEX(Example!$AC$7:$AC$506,MATCH(L72,Example!$AI$7:$AI$506,0)))</f>
        <v/>
      </c>
      <c r="P72" s="35" t="str">
        <f aca="false">IF(L72&gt;$B$6,"",INDEX(Example!$AD$7:$AD$506,MATCH(L72,Example!$AI$7:$AI$506,0)))</f>
        <v/>
      </c>
      <c r="Q72" s="34" t="n">
        <f aca="false">IF(L72&gt;$B$6,Q71,Q71+O72)</f>
        <v>22057.5</v>
      </c>
      <c r="R72" s="34" t="str">
        <f aca="false">IF(L72&gt;$B$6,"",Q72-MAX($Q$5:Q72))</f>
        <v/>
      </c>
    </row>
    <row r="73" customFormat="false" ht="15" hidden="false" customHeight="false" outlineLevel="0" collapsed="false">
      <c r="L73" s="0" t="n">
        <v>68</v>
      </c>
      <c r="M73" s="37" t="str">
        <f aca="false">IF(L73&gt;$B$6,"",INDEX(Example!$P$7:$P$506,MATCH(L73,Example!$AI$7:$AI$506,0)))</f>
        <v/>
      </c>
      <c r="N73" s="0" t="str">
        <f aca="false">IF(L73&gt;$B$6,"",INDEX(Example!$A$7:$A$506,MATCH(L73,Example!$AI$7:$AI$506,0)))</f>
        <v/>
      </c>
      <c r="O73" s="34" t="str">
        <f aca="false">IF(L73&gt;$B$6,"",INDEX(Example!$AC$7:$AC$506,MATCH(L73,Example!$AI$7:$AI$506,0)))</f>
        <v/>
      </c>
      <c r="P73" s="35" t="str">
        <f aca="false">IF(L73&gt;$B$6,"",INDEX(Example!$AD$7:$AD$506,MATCH(L73,Example!$AI$7:$AI$506,0)))</f>
        <v/>
      </c>
      <c r="Q73" s="34" t="n">
        <f aca="false">IF(L73&gt;$B$6,Q72,Q72+O73)</f>
        <v>22057.5</v>
      </c>
      <c r="R73" s="34" t="str">
        <f aca="false">IF(L73&gt;$B$6,"",Q73-MAX($Q$5:Q73))</f>
        <v/>
      </c>
    </row>
    <row r="74" customFormat="false" ht="15" hidden="false" customHeight="false" outlineLevel="0" collapsed="false">
      <c r="L74" s="0" t="n">
        <v>69</v>
      </c>
      <c r="M74" s="37" t="str">
        <f aca="false">IF(L74&gt;$B$6,"",INDEX(Example!$P$7:$P$506,MATCH(L74,Example!$AI$7:$AI$506,0)))</f>
        <v/>
      </c>
      <c r="N74" s="0" t="str">
        <f aca="false">IF(L74&gt;$B$6,"",INDEX(Example!$A$7:$A$506,MATCH(L74,Example!$AI$7:$AI$506,0)))</f>
        <v/>
      </c>
      <c r="O74" s="34" t="str">
        <f aca="false">IF(L74&gt;$B$6,"",INDEX(Example!$AC$7:$AC$506,MATCH(L74,Example!$AI$7:$AI$506,0)))</f>
        <v/>
      </c>
      <c r="P74" s="35" t="str">
        <f aca="false">IF(L74&gt;$B$6,"",INDEX(Example!$AD$7:$AD$506,MATCH(L74,Example!$AI$7:$AI$506,0)))</f>
        <v/>
      </c>
      <c r="Q74" s="34" t="n">
        <f aca="false">IF(L74&gt;$B$6,Q73,Q73+O74)</f>
        <v>22057.5</v>
      </c>
      <c r="R74" s="34" t="str">
        <f aca="false">IF(L74&gt;$B$6,"",Q74-MAX($Q$5:Q74))</f>
        <v/>
      </c>
    </row>
    <row r="75" customFormat="false" ht="15" hidden="false" customHeight="false" outlineLevel="0" collapsed="false">
      <c r="L75" s="0" t="n">
        <v>70</v>
      </c>
      <c r="M75" s="37" t="str">
        <f aca="false">IF(L75&gt;$B$6,"",INDEX(Example!$P$7:$P$506,MATCH(L75,Example!$AI$7:$AI$506,0)))</f>
        <v/>
      </c>
      <c r="N75" s="0" t="str">
        <f aca="false">IF(L75&gt;$B$6,"",INDEX(Example!$A$7:$A$506,MATCH(L75,Example!$AI$7:$AI$506,0)))</f>
        <v/>
      </c>
      <c r="O75" s="34" t="str">
        <f aca="false">IF(L75&gt;$B$6,"",INDEX(Example!$AC$7:$AC$506,MATCH(L75,Example!$AI$7:$AI$506,0)))</f>
        <v/>
      </c>
      <c r="P75" s="35" t="str">
        <f aca="false">IF(L75&gt;$B$6,"",INDEX(Example!$AD$7:$AD$506,MATCH(L75,Example!$AI$7:$AI$506,0)))</f>
        <v/>
      </c>
      <c r="Q75" s="34" t="n">
        <f aca="false">IF(L75&gt;$B$6,Q74,Q74+O75)</f>
        <v>22057.5</v>
      </c>
      <c r="R75" s="34" t="str">
        <f aca="false">IF(L75&gt;$B$6,"",Q75-MAX($Q$5:Q75))</f>
        <v/>
      </c>
    </row>
    <row r="76" customFormat="false" ht="15" hidden="false" customHeight="false" outlineLevel="0" collapsed="false">
      <c r="L76" s="0" t="n">
        <v>71</v>
      </c>
      <c r="M76" s="37" t="str">
        <f aca="false">IF(L76&gt;$B$6,"",INDEX(Example!$P$7:$P$506,MATCH(L76,Example!$AI$7:$AI$506,0)))</f>
        <v/>
      </c>
      <c r="N76" s="0" t="str">
        <f aca="false">IF(L76&gt;$B$6,"",INDEX(Example!$A$7:$A$506,MATCH(L76,Example!$AI$7:$AI$506,0)))</f>
        <v/>
      </c>
      <c r="O76" s="34" t="str">
        <f aca="false">IF(L76&gt;$B$6,"",INDEX(Example!$AC$7:$AC$506,MATCH(L76,Example!$AI$7:$AI$506,0)))</f>
        <v/>
      </c>
      <c r="P76" s="35" t="str">
        <f aca="false">IF(L76&gt;$B$6,"",INDEX(Example!$AD$7:$AD$506,MATCH(L76,Example!$AI$7:$AI$506,0)))</f>
        <v/>
      </c>
      <c r="Q76" s="34" t="n">
        <f aca="false">IF(L76&gt;$B$6,Q75,Q75+O76)</f>
        <v>22057.5</v>
      </c>
      <c r="R76" s="34" t="str">
        <f aca="false">IF(L76&gt;$B$6,"",Q76-MAX($Q$5:Q76))</f>
        <v/>
      </c>
    </row>
    <row r="77" customFormat="false" ht="15" hidden="false" customHeight="false" outlineLevel="0" collapsed="false">
      <c r="L77" s="0" t="n">
        <v>72</v>
      </c>
      <c r="M77" s="37" t="str">
        <f aca="false">IF(L77&gt;$B$6,"",INDEX(Example!$P$7:$P$506,MATCH(L77,Example!$AI$7:$AI$506,0)))</f>
        <v/>
      </c>
      <c r="N77" s="0" t="str">
        <f aca="false">IF(L77&gt;$B$6,"",INDEX(Example!$A$7:$A$506,MATCH(L77,Example!$AI$7:$AI$506,0)))</f>
        <v/>
      </c>
      <c r="O77" s="34" t="str">
        <f aca="false">IF(L77&gt;$B$6,"",INDEX(Example!$AC$7:$AC$506,MATCH(L77,Example!$AI$7:$AI$506,0)))</f>
        <v/>
      </c>
      <c r="P77" s="35" t="str">
        <f aca="false">IF(L77&gt;$B$6,"",INDEX(Example!$AD$7:$AD$506,MATCH(L77,Example!$AI$7:$AI$506,0)))</f>
        <v/>
      </c>
      <c r="Q77" s="34" t="n">
        <f aca="false">IF(L77&gt;$B$6,Q76,Q76+O77)</f>
        <v>22057.5</v>
      </c>
      <c r="R77" s="34" t="str">
        <f aca="false">IF(L77&gt;$B$6,"",Q77-MAX($Q$5:Q77))</f>
        <v/>
      </c>
    </row>
    <row r="78" customFormat="false" ht="15" hidden="false" customHeight="false" outlineLevel="0" collapsed="false">
      <c r="L78" s="0" t="n">
        <v>73</v>
      </c>
      <c r="M78" s="37" t="str">
        <f aca="false">IF(L78&gt;$B$6,"",INDEX(Example!$P$7:$P$506,MATCH(L78,Example!$AI$7:$AI$506,0)))</f>
        <v/>
      </c>
      <c r="N78" s="0" t="str">
        <f aca="false">IF(L78&gt;$B$6,"",INDEX(Example!$A$7:$A$506,MATCH(L78,Example!$AI$7:$AI$506,0)))</f>
        <v/>
      </c>
      <c r="O78" s="34" t="str">
        <f aca="false">IF(L78&gt;$B$6,"",INDEX(Example!$AC$7:$AC$506,MATCH(L78,Example!$AI$7:$AI$506,0)))</f>
        <v/>
      </c>
      <c r="P78" s="35" t="str">
        <f aca="false">IF(L78&gt;$B$6,"",INDEX(Example!$AD$7:$AD$506,MATCH(L78,Example!$AI$7:$AI$506,0)))</f>
        <v/>
      </c>
      <c r="Q78" s="34" t="n">
        <f aca="false">IF(L78&gt;$B$6,Q77,Q77+O78)</f>
        <v>22057.5</v>
      </c>
      <c r="R78" s="34" t="str">
        <f aca="false">IF(L78&gt;$B$6,"",Q78-MAX($Q$5:Q78))</f>
        <v/>
      </c>
    </row>
    <row r="79" customFormat="false" ht="15" hidden="false" customHeight="false" outlineLevel="0" collapsed="false">
      <c r="L79" s="0" t="n">
        <v>74</v>
      </c>
      <c r="M79" s="37" t="str">
        <f aca="false">IF(L79&gt;$B$6,"",INDEX(Example!$P$7:$P$506,MATCH(L79,Example!$AI$7:$AI$506,0)))</f>
        <v/>
      </c>
      <c r="N79" s="0" t="str">
        <f aca="false">IF(L79&gt;$B$6,"",INDEX(Example!$A$7:$A$506,MATCH(L79,Example!$AI$7:$AI$506,0)))</f>
        <v/>
      </c>
      <c r="O79" s="34" t="str">
        <f aca="false">IF(L79&gt;$B$6,"",INDEX(Example!$AC$7:$AC$506,MATCH(L79,Example!$AI$7:$AI$506,0)))</f>
        <v/>
      </c>
      <c r="P79" s="35" t="str">
        <f aca="false">IF(L79&gt;$B$6,"",INDEX(Example!$AD$7:$AD$506,MATCH(L79,Example!$AI$7:$AI$506,0)))</f>
        <v/>
      </c>
      <c r="Q79" s="34" t="n">
        <f aca="false">IF(L79&gt;$B$6,Q78,Q78+O79)</f>
        <v>22057.5</v>
      </c>
      <c r="R79" s="34" t="str">
        <f aca="false">IF(L79&gt;$B$6,"",Q79-MAX($Q$5:Q79))</f>
        <v/>
      </c>
    </row>
    <row r="80" customFormat="false" ht="15" hidden="false" customHeight="false" outlineLevel="0" collapsed="false">
      <c r="L80" s="0" t="n">
        <v>75</v>
      </c>
      <c r="M80" s="37" t="str">
        <f aca="false">IF(L80&gt;$B$6,"",INDEX(Example!$P$7:$P$506,MATCH(L80,Example!$AI$7:$AI$506,0)))</f>
        <v/>
      </c>
      <c r="N80" s="0" t="str">
        <f aca="false">IF(L80&gt;$B$6,"",INDEX(Example!$A$7:$A$506,MATCH(L80,Example!$AI$7:$AI$506,0)))</f>
        <v/>
      </c>
      <c r="O80" s="34" t="str">
        <f aca="false">IF(L80&gt;$B$6,"",INDEX(Example!$AC$7:$AC$506,MATCH(L80,Example!$AI$7:$AI$506,0)))</f>
        <v/>
      </c>
      <c r="P80" s="35" t="str">
        <f aca="false">IF(L80&gt;$B$6,"",INDEX(Example!$AD$7:$AD$506,MATCH(L80,Example!$AI$7:$AI$506,0)))</f>
        <v/>
      </c>
      <c r="Q80" s="34" t="n">
        <f aca="false">IF(L80&gt;$B$6,Q79,Q79+O80)</f>
        <v>22057.5</v>
      </c>
      <c r="R80" s="34" t="str">
        <f aca="false">IF(L80&gt;$B$6,"",Q80-MAX($Q$5:Q80))</f>
        <v/>
      </c>
    </row>
    <row r="81" customFormat="false" ht="15" hidden="false" customHeight="false" outlineLevel="0" collapsed="false">
      <c r="L81" s="0" t="n">
        <v>76</v>
      </c>
      <c r="M81" s="37" t="str">
        <f aca="false">IF(L81&gt;$B$6,"",INDEX(Example!$P$7:$P$506,MATCH(L81,Example!$AI$7:$AI$506,0)))</f>
        <v/>
      </c>
      <c r="N81" s="0" t="str">
        <f aca="false">IF(L81&gt;$B$6,"",INDEX(Example!$A$7:$A$506,MATCH(L81,Example!$AI$7:$AI$506,0)))</f>
        <v/>
      </c>
      <c r="O81" s="34" t="str">
        <f aca="false">IF(L81&gt;$B$6,"",INDEX(Example!$AC$7:$AC$506,MATCH(L81,Example!$AI$7:$AI$506,0)))</f>
        <v/>
      </c>
      <c r="P81" s="35" t="str">
        <f aca="false">IF(L81&gt;$B$6,"",INDEX(Example!$AD$7:$AD$506,MATCH(L81,Example!$AI$7:$AI$506,0)))</f>
        <v/>
      </c>
      <c r="Q81" s="34" t="n">
        <f aca="false">IF(L81&gt;$B$6,Q80,Q80+O81)</f>
        <v>22057.5</v>
      </c>
      <c r="R81" s="34" t="str">
        <f aca="false">IF(L81&gt;$B$6,"",Q81-MAX($Q$5:Q81))</f>
        <v/>
      </c>
    </row>
    <row r="82" customFormat="false" ht="15" hidden="false" customHeight="false" outlineLevel="0" collapsed="false">
      <c r="L82" s="0" t="n">
        <v>77</v>
      </c>
      <c r="M82" s="37" t="str">
        <f aca="false">IF(L82&gt;$B$6,"",INDEX(Example!$P$7:$P$506,MATCH(L82,Example!$AI$7:$AI$506,0)))</f>
        <v/>
      </c>
      <c r="N82" s="0" t="str">
        <f aca="false">IF(L82&gt;$B$6,"",INDEX(Example!$A$7:$A$506,MATCH(L82,Example!$AI$7:$AI$506,0)))</f>
        <v/>
      </c>
      <c r="O82" s="34" t="str">
        <f aca="false">IF(L82&gt;$B$6,"",INDEX(Example!$AC$7:$AC$506,MATCH(L82,Example!$AI$7:$AI$506,0)))</f>
        <v/>
      </c>
      <c r="P82" s="35" t="str">
        <f aca="false">IF(L82&gt;$B$6,"",INDEX(Example!$AD$7:$AD$506,MATCH(L82,Example!$AI$7:$AI$506,0)))</f>
        <v/>
      </c>
      <c r="Q82" s="34" t="n">
        <f aca="false">IF(L82&gt;$B$6,Q81,Q81+O82)</f>
        <v>22057.5</v>
      </c>
      <c r="R82" s="34" t="str">
        <f aca="false">IF(L82&gt;$B$6,"",Q82-MAX($Q$5:Q82))</f>
        <v/>
      </c>
    </row>
    <row r="83" customFormat="false" ht="15" hidden="false" customHeight="false" outlineLevel="0" collapsed="false">
      <c r="L83" s="0" t="n">
        <v>78</v>
      </c>
      <c r="M83" s="37" t="str">
        <f aca="false">IF(L83&gt;$B$6,"",INDEX(Example!$P$7:$P$506,MATCH(L83,Example!$AI$7:$AI$506,0)))</f>
        <v/>
      </c>
      <c r="N83" s="0" t="str">
        <f aca="false">IF(L83&gt;$B$6,"",INDEX(Example!$A$7:$A$506,MATCH(L83,Example!$AI$7:$AI$506,0)))</f>
        <v/>
      </c>
      <c r="O83" s="34" t="str">
        <f aca="false">IF(L83&gt;$B$6,"",INDEX(Example!$AC$7:$AC$506,MATCH(L83,Example!$AI$7:$AI$506,0)))</f>
        <v/>
      </c>
      <c r="P83" s="35" t="str">
        <f aca="false">IF(L83&gt;$B$6,"",INDEX(Example!$AD$7:$AD$506,MATCH(L83,Example!$AI$7:$AI$506,0)))</f>
        <v/>
      </c>
      <c r="Q83" s="34" t="n">
        <f aca="false">IF(L83&gt;$B$6,Q82,Q82+O83)</f>
        <v>22057.5</v>
      </c>
      <c r="R83" s="34" t="str">
        <f aca="false">IF(L83&gt;$B$6,"",Q83-MAX($Q$5:Q83))</f>
        <v/>
      </c>
    </row>
    <row r="84" customFormat="false" ht="15" hidden="false" customHeight="false" outlineLevel="0" collapsed="false">
      <c r="L84" s="0" t="n">
        <v>79</v>
      </c>
      <c r="M84" s="37" t="str">
        <f aca="false">IF(L84&gt;$B$6,"",INDEX(Example!$P$7:$P$506,MATCH(L84,Example!$AI$7:$AI$506,0)))</f>
        <v/>
      </c>
      <c r="N84" s="0" t="str">
        <f aca="false">IF(L84&gt;$B$6,"",INDEX(Example!$A$7:$A$506,MATCH(L84,Example!$AI$7:$AI$506,0)))</f>
        <v/>
      </c>
      <c r="O84" s="34" t="str">
        <f aca="false">IF(L84&gt;$B$6,"",INDEX(Example!$AC$7:$AC$506,MATCH(L84,Example!$AI$7:$AI$506,0)))</f>
        <v/>
      </c>
      <c r="P84" s="35" t="str">
        <f aca="false">IF(L84&gt;$B$6,"",INDEX(Example!$AD$7:$AD$506,MATCH(L84,Example!$AI$7:$AI$506,0)))</f>
        <v/>
      </c>
      <c r="Q84" s="34" t="n">
        <f aca="false">IF(L84&gt;$B$6,Q83,Q83+O84)</f>
        <v>22057.5</v>
      </c>
      <c r="R84" s="34" t="str">
        <f aca="false">IF(L84&gt;$B$6,"",Q84-MAX($Q$5:Q84))</f>
        <v/>
      </c>
    </row>
    <row r="85" customFormat="false" ht="15" hidden="false" customHeight="false" outlineLevel="0" collapsed="false">
      <c r="L85" s="0" t="n">
        <v>80</v>
      </c>
      <c r="M85" s="37" t="str">
        <f aca="false">IF(L85&gt;$B$6,"",INDEX(Example!$P$7:$P$506,MATCH(L85,Example!$AI$7:$AI$506,0)))</f>
        <v/>
      </c>
      <c r="N85" s="0" t="str">
        <f aca="false">IF(L85&gt;$B$6,"",INDEX(Example!$A$7:$A$506,MATCH(L85,Example!$AI$7:$AI$506,0)))</f>
        <v/>
      </c>
      <c r="O85" s="34" t="str">
        <f aca="false">IF(L85&gt;$B$6,"",INDEX(Example!$AC$7:$AC$506,MATCH(L85,Example!$AI$7:$AI$506,0)))</f>
        <v/>
      </c>
      <c r="P85" s="35" t="str">
        <f aca="false">IF(L85&gt;$B$6,"",INDEX(Example!$AD$7:$AD$506,MATCH(L85,Example!$AI$7:$AI$506,0)))</f>
        <v/>
      </c>
      <c r="Q85" s="34" t="n">
        <f aca="false">IF(L85&gt;$B$6,Q84,Q84+O85)</f>
        <v>22057.5</v>
      </c>
      <c r="R85" s="34" t="str">
        <f aca="false">IF(L85&gt;$B$6,"",Q85-MAX($Q$5:Q85))</f>
        <v/>
      </c>
    </row>
    <row r="86" customFormat="false" ht="15" hidden="false" customHeight="false" outlineLevel="0" collapsed="false">
      <c r="L86" s="0" t="n">
        <v>81</v>
      </c>
      <c r="M86" s="37" t="str">
        <f aca="false">IF(L86&gt;$B$6,"",INDEX(Example!$P$7:$P$506,MATCH(L86,Example!$AI$7:$AI$506,0)))</f>
        <v/>
      </c>
      <c r="N86" s="0" t="str">
        <f aca="false">IF(L86&gt;$B$6,"",INDEX(Example!$A$7:$A$506,MATCH(L86,Example!$AI$7:$AI$506,0)))</f>
        <v/>
      </c>
      <c r="O86" s="34" t="str">
        <f aca="false">IF(L86&gt;$B$6,"",INDEX(Example!$AC$7:$AC$506,MATCH(L86,Example!$AI$7:$AI$506,0)))</f>
        <v/>
      </c>
      <c r="P86" s="35" t="str">
        <f aca="false">IF(L86&gt;$B$6,"",INDEX(Example!$AD$7:$AD$506,MATCH(L86,Example!$AI$7:$AI$506,0)))</f>
        <v/>
      </c>
      <c r="Q86" s="34" t="n">
        <f aca="false">IF(L86&gt;$B$6,Q85,Q85+O86)</f>
        <v>22057.5</v>
      </c>
      <c r="R86" s="34" t="str">
        <f aca="false">IF(L86&gt;$B$6,"",Q86-MAX($Q$5:Q86))</f>
        <v/>
      </c>
    </row>
    <row r="87" customFormat="false" ht="15" hidden="false" customHeight="false" outlineLevel="0" collapsed="false">
      <c r="L87" s="0" t="n">
        <v>82</v>
      </c>
      <c r="M87" s="37" t="str">
        <f aca="false">IF(L87&gt;$B$6,"",INDEX(Example!$P$7:$P$506,MATCH(L87,Example!$AI$7:$AI$506,0)))</f>
        <v/>
      </c>
      <c r="N87" s="0" t="str">
        <f aca="false">IF(L87&gt;$B$6,"",INDEX(Example!$A$7:$A$506,MATCH(L87,Example!$AI$7:$AI$506,0)))</f>
        <v/>
      </c>
      <c r="O87" s="34" t="str">
        <f aca="false">IF(L87&gt;$B$6,"",INDEX(Example!$AC$7:$AC$506,MATCH(L87,Example!$AI$7:$AI$506,0)))</f>
        <v/>
      </c>
      <c r="P87" s="35" t="str">
        <f aca="false">IF(L87&gt;$B$6,"",INDEX(Example!$AD$7:$AD$506,MATCH(L87,Example!$AI$7:$AI$506,0)))</f>
        <v/>
      </c>
      <c r="Q87" s="34" t="n">
        <f aca="false">IF(L87&gt;$B$6,Q86,Q86+O87)</f>
        <v>22057.5</v>
      </c>
      <c r="R87" s="34" t="str">
        <f aca="false">IF(L87&gt;$B$6,"",Q87-MAX($Q$5:Q87))</f>
        <v/>
      </c>
    </row>
    <row r="88" customFormat="false" ht="15" hidden="false" customHeight="false" outlineLevel="0" collapsed="false">
      <c r="L88" s="0" t="n">
        <v>83</v>
      </c>
      <c r="M88" s="37" t="str">
        <f aca="false">IF(L88&gt;$B$6,"",INDEX(Example!$P$7:$P$506,MATCH(L88,Example!$AI$7:$AI$506,0)))</f>
        <v/>
      </c>
      <c r="N88" s="0" t="str">
        <f aca="false">IF(L88&gt;$B$6,"",INDEX(Example!$A$7:$A$506,MATCH(L88,Example!$AI$7:$AI$506,0)))</f>
        <v/>
      </c>
      <c r="O88" s="34" t="str">
        <f aca="false">IF(L88&gt;$B$6,"",INDEX(Example!$AC$7:$AC$506,MATCH(L88,Example!$AI$7:$AI$506,0)))</f>
        <v/>
      </c>
      <c r="P88" s="35" t="str">
        <f aca="false">IF(L88&gt;$B$6,"",INDEX(Example!$AD$7:$AD$506,MATCH(L88,Example!$AI$7:$AI$506,0)))</f>
        <v/>
      </c>
      <c r="Q88" s="34" t="n">
        <f aca="false">IF(L88&gt;$B$6,Q87,Q87+O88)</f>
        <v>22057.5</v>
      </c>
      <c r="R88" s="34" t="str">
        <f aca="false">IF(L88&gt;$B$6,"",Q88-MAX($Q$5:Q88))</f>
        <v/>
      </c>
    </row>
    <row r="89" customFormat="false" ht="15" hidden="false" customHeight="false" outlineLevel="0" collapsed="false">
      <c r="L89" s="0" t="n">
        <v>84</v>
      </c>
      <c r="M89" s="37" t="str">
        <f aca="false">IF(L89&gt;$B$6,"",INDEX(Example!$P$7:$P$506,MATCH(L89,Example!$AI$7:$AI$506,0)))</f>
        <v/>
      </c>
      <c r="N89" s="0" t="str">
        <f aca="false">IF(L89&gt;$B$6,"",INDEX(Example!$A$7:$A$506,MATCH(L89,Example!$AI$7:$AI$506,0)))</f>
        <v/>
      </c>
      <c r="O89" s="34" t="str">
        <f aca="false">IF(L89&gt;$B$6,"",INDEX(Example!$AC$7:$AC$506,MATCH(L89,Example!$AI$7:$AI$506,0)))</f>
        <v/>
      </c>
      <c r="P89" s="35" t="str">
        <f aca="false">IF(L89&gt;$B$6,"",INDEX(Example!$AD$7:$AD$506,MATCH(L89,Example!$AI$7:$AI$506,0)))</f>
        <v/>
      </c>
      <c r="Q89" s="34" t="n">
        <f aca="false">IF(L89&gt;$B$6,Q88,Q88+O89)</f>
        <v>22057.5</v>
      </c>
      <c r="R89" s="34" t="str">
        <f aca="false">IF(L89&gt;$B$6,"",Q89-MAX($Q$5:Q89))</f>
        <v/>
      </c>
    </row>
    <row r="90" customFormat="false" ht="15" hidden="false" customHeight="false" outlineLevel="0" collapsed="false">
      <c r="L90" s="0" t="n">
        <v>85</v>
      </c>
      <c r="M90" s="37" t="str">
        <f aca="false">IF(L90&gt;$B$6,"",INDEX(Example!$P$7:$P$506,MATCH(L90,Example!$AI$7:$AI$506,0)))</f>
        <v/>
      </c>
      <c r="N90" s="0" t="str">
        <f aca="false">IF(L90&gt;$B$6,"",INDEX(Example!$A$7:$A$506,MATCH(L90,Example!$AI$7:$AI$506,0)))</f>
        <v/>
      </c>
      <c r="O90" s="34" t="str">
        <f aca="false">IF(L90&gt;$B$6,"",INDEX(Example!$AC$7:$AC$506,MATCH(L90,Example!$AI$7:$AI$506,0)))</f>
        <v/>
      </c>
      <c r="P90" s="35" t="str">
        <f aca="false">IF(L90&gt;$B$6,"",INDEX(Example!$AD$7:$AD$506,MATCH(L90,Example!$AI$7:$AI$506,0)))</f>
        <v/>
      </c>
      <c r="Q90" s="34" t="n">
        <f aca="false">IF(L90&gt;$B$6,Q89,Q89+O90)</f>
        <v>22057.5</v>
      </c>
      <c r="R90" s="34" t="str">
        <f aca="false">IF(L90&gt;$B$6,"",Q90-MAX($Q$5:Q90))</f>
        <v/>
      </c>
    </row>
    <row r="91" customFormat="false" ht="15" hidden="false" customHeight="false" outlineLevel="0" collapsed="false">
      <c r="L91" s="0" t="n">
        <v>86</v>
      </c>
      <c r="M91" s="37" t="str">
        <f aca="false">IF(L91&gt;$B$6,"",INDEX(Example!$P$7:$P$506,MATCH(L91,Example!$AI$7:$AI$506,0)))</f>
        <v/>
      </c>
      <c r="N91" s="0" t="str">
        <f aca="false">IF(L91&gt;$B$6,"",INDEX(Example!$A$7:$A$506,MATCH(L91,Example!$AI$7:$AI$506,0)))</f>
        <v/>
      </c>
      <c r="O91" s="34" t="str">
        <f aca="false">IF(L91&gt;$B$6,"",INDEX(Example!$AC$7:$AC$506,MATCH(L91,Example!$AI$7:$AI$506,0)))</f>
        <v/>
      </c>
      <c r="P91" s="35" t="str">
        <f aca="false">IF(L91&gt;$B$6,"",INDEX(Example!$AD$7:$AD$506,MATCH(L91,Example!$AI$7:$AI$506,0)))</f>
        <v/>
      </c>
      <c r="Q91" s="34" t="n">
        <f aca="false">IF(L91&gt;$B$6,Q90,Q90+O91)</f>
        <v>22057.5</v>
      </c>
      <c r="R91" s="34" t="str">
        <f aca="false">IF(L91&gt;$B$6,"",Q91-MAX($Q$5:Q91))</f>
        <v/>
      </c>
    </row>
    <row r="92" customFormat="false" ht="15" hidden="false" customHeight="false" outlineLevel="0" collapsed="false">
      <c r="L92" s="0" t="n">
        <v>87</v>
      </c>
      <c r="M92" s="37" t="str">
        <f aca="false">IF(L92&gt;$B$6,"",INDEX(Example!$P$7:$P$506,MATCH(L92,Example!$AI$7:$AI$506,0)))</f>
        <v/>
      </c>
      <c r="N92" s="0" t="str">
        <f aca="false">IF(L92&gt;$B$6,"",INDEX(Example!$A$7:$A$506,MATCH(L92,Example!$AI$7:$AI$506,0)))</f>
        <v/>
      </c>
      <c r="O92" s="34" t="str">
        <f aca="false">IF(L92&gt;$B$6,"",INDEX(Example!$AC$7:$AC$506,MATCH(L92,Example!$AI$7:$AI$506,0)))</f>
        <v/>
      </c>
      <c r="P92" s="35" t="str">
        <f aca="false">IF(L92&gt;$B$6,"",INDEX(Example!$AD$7:$AD$506,MATCH(L92,Example!$AI$7:$AI$506,0)))</f>
        <v/>
      </c>
      <c r="Q92" s="34" t="n">
        <f aca="false">IF(L92&gt;$B$6,Q91,Q91+O92)</f>
        <v>22057.5</v>
      </c>
      <c r="R92" s="34" t="str">
        <f aca="false">IF(L92&gt;$B$6,"",Q92-MAX($Q$5:Q92))</f>
        <v/>
      </c>
    </row>
    <row r="93" customFormat="false" ht="15" hidden="false" customHeight="false" outlineLevel="0" collapsed="false">
      <c r="L93" s="0" t="n">
        <v>88</v>
      </c>
      <c r="M93" s="37" t="str">
        <f aca="false">IF(L93&gt;$B$6,"",INDEX(Example!$P$7:$P$506,MATCH(L93,Example!$AI$7:$AI$506,0)))</f>
        <v/>
      </c>
      <c r="N93" s="0" t="str">
        <f aca="false">IF(L93&gt;$B$6,"",INDEX(Example!$A$7:$A$506,MATCH(L93,Example!$AI$7:$AI$506,0)))</f>
        <v/>
      </c>
      <c r="O93" s="34" t="str">
        <f aca="false">IF(L93&gt;$B$6,"",INDEX(Example!$AC$7:$AC$506,MATCH(L93,Example!$AI$7:$AI$506,0)))</f>
        <v/>
      </c>
      <c r="P93" s="35" t="str">
        <f aca="false">IF(L93&gt;$B$6,"",INDEX(Example!$AD$7:$AD$506,MATCH(L93,Example!$AI$7:$AI$506,0)))</f>
        <v/>
      </c>
      <c r="Q93" s="34" t="n">
        <f aca="false">IF(L93&gt;$B$6,Q92,Q92+O93)</f>
        <v>22057.5</v>
      </c>
      <c r="R93" s="34" t="str">
        <f aca="false">IF(L93&gt;$B$6,"",Q93-MAX($Q$5:Q93))</f>
        <v/>
      </c>
    </row>
    <row r="94" customFormat="false" ht="15" hidden="false" customHeight="false" outlineLevel="0" collapsed="false">
      <c r="L94" s="0" t="n">
        <v>89</v>
      </c>
      <c r="M94" s="37" t="str">
        <f aca="false">IF(L94&gt;$B$6,"",INDEX(Example!$P$7:$P$506,MATCH(L94,Example!$AI$7:$AI$506,0)))</f>
        <v/>
      </c>
      <c r="N94" s="0" t="str">
        <f aca="false">IF(L94&gt;$B$6,"",INDEX(Example!$A$7:$A$506,MATCH(L94,Example!$AI$7:$AI$506,0)))</f>
        <v/>
      </c>
      <c r="O94" s="34" t="str">
        <f aca="false">IF(L94&gt;$B$6,"",INDEX(Example!$AC$7:$AC$506,MATCH(L94,Example!$AI$7:$AI$506,0)))</f>
        <v/>
      </c>
      <c r="P94" s="35" t="str">
        <f aca="false">IF(L94&gt;$B$6,"",INDEX(Example!$AD$7:$AD$506,MATCH(L94,Example!$AI$7:$AI$506,0)))</f>
        <v/>
      </c>
      <c r="Q94" s="34" t="n">
        <f aca="false">IF(L94&gt;$B$6,Q93,Q93+O94)</f>
        <v>22057.5</v>
      </c>
      <c r="R94" s="34" t="str">
        <f aca="false">IF(L94&gt;$B$6,"",Q94-MAX($Q$5:Q94))</f>
        <v/>
      </c>
    </row>
    <row r="95" customFormat="false" ht="15" hidden="false" customHeight="false" outlineLevel="0" collapsed="false">
      <c r="L95" s="0" t="n">
        <v>90</v>
      </c>
      <c r="M95" s="37" t="str">
        <f aca="false">IF(L95&gt;$B$6,"",INDEX(Example!$P$7:$P$506,MATCH(L95,Example!$AI$7:$AI$506,0)))</f>
        <v/>
      </c>
      <c r="N95" s="0" t="str">
        <f aca="false">IF(L95&gt;$B$6,"",INDEX(Example!$A$7:$A$506,MATCH(L95,Example!$AI$7:$AI$506,0)))</f>
        <v/>
      </c>
      <c r="O95" s="34" t="str">
        <f aca="false">IF(L95&gt;$B$6,"",INDEX(Example!$AC$7:$AC$506,MATCH(L95,Example!$AI$7:$AI$506,0)))</f>
        <v/>
      </c>
      <c r="P95" s="35" t="str">
        <f aca="false">IF(L95&gt;$B$6,"",INDEX(Example!$AD$7:$AD$506,MATCH(L95,Example!$AI$7:$AI$506,0)))</f>
        <v/>
      </c>
      <c r="Q95" s="34" t="n">
        <f aca="false">IF(L95&gt;$B$6,Q94,Q94+O95)</f>
        <v>22057.5</v>
      </c>
      <c r="R95" s="34" t="str">
        <f aca="false">IF(L95&gt;$B$6,"",Q95-MAX($Q$5:Q95))</f>
        <v/>
      </c>
    </row>
    <row r="96" customFormat="false" ht="15" hidden="false" customHeight="false" outlineLevel="0" collapsed="false">
      <c r="L96" s="0" t="n">
        <v>91</v>
      </c>
      <c r="M96" s="37" t="str">
        <f aca="false">IF(L96&gt;$B$6,"",INDEX(Example!$P$7:$P$506,MATCH(L96,Example!$AI$7:$AI$506,0)))</f>
        <v/>
      </c>
      <c r="N96" s="0" t="str">
        <f aca="false">IF(L96&gt;$B$6,"",INDEX(Example!$A$7:$A$506,MATCH(L96,Example!$AI$7:$AI$506,0)))</f>
        <v/>
      </c>
      <c r="O96" s="34" t="str">
        <f aca="false">IF(L96&gt;$B$6,"",INDEX(Example!$AC$7:$AC$506,MATCH(L96,Example!$AI$7:$AI$506,0)))</f>
        <v/>
      </c>
      <c r="P96" s="35" t="str">
        <f aca="false">IF(L96&gt;$B$6,"",INDEX(Example!$AD$7:$AD$506,MATCH(L96,Example!$AI$7:$AI$506,0)))</f>
        <v/>
      </c>
      <c r="Q96" s="34" t="n">
        <f aca="false">IF(L96&gt;$B$6,Q95,Q95+O96)</f>
        <v>22057.5</v>
      </c>
      <c r="R96" s="34" t="str">
        <f aca="false">IF(L96&gt;$B$6,"",Q96-MAX($Q$5:Q96))</f>
        <v/>
      </c>
    </row>
    <row r="97" customFormat="false" ht="15" hidden="false" customHeight="false" outlineLevel="0" collapsed="false">
      <c r="L97" s="0" t="n">
        <v>92</v>
      </c>
      <c r="M97" s="37" t="str">
        <f aca="false">IF(L97&gt;$B$6,"",INDEX(Example!$P$7:$P$506,MATCH(L97,Example!$AI$7:$AI$506,0)))</f>
        <v/>
      </c>
      <c r="N97" s="0" t="str">
        <f aca="false">IF(L97&gt;$B$6,"",INDEX(Example!$A$7:$A$506,MATCH(L97,Example!$AI$7:$AI$506,0)))</f>
        <v/>
      </c>
      <c r="O97" s="34" t="str">
        <f aca="false">IF(L97&gt;$B$6,"",INDEX(Example!$AC$7:$AC$506,MATCH(L97,Example!$AI$7:$AI$506,0)))</f>
        <v/>
      </c>
      <c r="P97" s="35" t="str">
        <f aca="false">IF(L97&gt;$B$6,"",INDEX(Example!$AD$7:$AD$506,MATCH(L97,Example!$AI$7:$AI$506,0)))</f>
        <v/>
      </c>
      <c r="Q97" s="34" t="n">
        <f aca="false">IF(L97&gt;$B$6,Q96,Q96+O97)</f>
        <v>22057.5</v>
      </c>
      <c r="R97" s="34" t="str">
        <f aca="false">IF(L97&gt;$B$6,"",Q97-MAX($Q$5:Q97))</f>
        <v/>
      </c>
    </row>
    <row r="98" customFormat="false" ht="15" hidden="false" customHeight="false" outlineLevel="0" collapsed="false">
      <c r="L98" s="0" t="n">
        <v>93</v>
      </c>
      <c r="M98" s="37" t="str">
        <f aca="false">IF(L98&gt;$B$6,"",INDEX(Example!$P$7:$P$506,MATCH(L98,Example!$AI$7:$AI$506,0)))</f>
        <v/>
      </c>
      <c r="N98" s="0" t="str">
        <f aca="false">IF(L98&gt;$B$6,"",INDEX(Example!$A$7:$A$506,MATCH(L98,Example!$AI$7:$AI$506,0)))</f>
        <v/>
      </c>
      <c r="O98" s="34" t="str">
        <f aca="false">IF(L98&gt;$B$6,"",INDEX(Example!$AC$7:$AC$506,MATCH(L98,Example!$AI$7:$AI$506,0)))</f>
        <v/>
      </c>
      <c r="P98" s="35" t="str">
        <f aca="false">IF(L98&gt;$B$6,"",INDEX(Example!$AD$7:$AD$506,MATCH(L98,Example!$AI$7:$AI$506,0)))</f>
        <v/>
      </c>
      <c r="Q98" s="34" t="n">
        <f aca="false">IF(L98&gt;$B$6,Q97,Q97+O98)</f>
        <v>22057.5</v>
      </c>
      <c r="R98" s="34" t="str">
        <f aca="false">IF(L98&gt;$B$6,"",Q98-MAX($Q$5:Q98))</f>
        <v/>
      </c>
    </row>
    <row r="99" customFormat="false" ht="15" hidden="false" customHeight="false" outlineLevel="0" collapsed="false">
      <c r="L99" s="0" t="n">
        <v>94</v>
      </c>
      <c r="M99" s="37" t="str">
        <f aca="false">IF(L99&gt;$B$6,"",INDEX(Example!$P$7:$P$506,MATCH(L99,Example!$AI$7:$AI$506,0)))</f>
        <v/>
      </c>
      <c r="N99" s="0" t="str">
        <f aca="false">IF(L99&gt;$B$6,"",INDEX(Example!$A$7:$A$506,MATCH(L99,Example!$AI$7:$AI$506,0)))</f>
        <v/>
      </c>
      <c r="O99" s="34" t="str">
        <f aca="false">IF(L99&gt;$B$6,"",INDEX(Example!$AC$7:$AC$506,MATCH(L99,Example!$AI$7:$AI$506,0)))</f>
        <v/>
      </c>
      <c r="P99" s="35" t="str">
        <f aca="false">IF(L99&gt;$B$6,"",INDEX(Example!$AD$7:$AD$506,MATCH(L99,Example!$AI$7:$AI$506,0)))</f>
        <v/>
      </c>
      <c r="Q99" s="34" t="n">
        <f aca="false">IF(L99&gt;$B$6,Q98,Q98+O99)</f>
        <v>22057.5</v>
      </c>
      <c r="R99" s="34" t="str">
        <f aca="false">IF(L99&gt;$B$6,"",Q99-MAX($Q$5:Q99))</f>
        <v/>
      </c>
    </row>
    <row r="100" customFormat="false" ht="15" hidden="false" customHeight="false" outlineLevel="0" collapsed="false">
      <c r="L100" s="0" t="n">
        <v>95</v>
      </c>
      <c r="M100" s="37" t="str">
        <f aca="false">IF(L100&gt;$B$6,"",INDEX(Example!$P$7:$P$506,MATCH(L100,Example!$AI$7:$AI$506,0)))</f>
        <v/>
      </c>
      <c r="N100" s="0" t="str">
        <f aca="false">IF(L100&gt;$B$6,"",INDEX(Example!$A$7:$A$506,MATCH(L100,Example!$AI$7:$AI$506,0)))</f>
        <v/>
      </c>
      <c r="O100" s="34" t="str">
        <f aca="false">IF(L100&gt;$B$6,"",INDEX(Example!$AC$7:$AC$506,MATCH(L100,Example!$AI$7:$AI$506,0)))</f>
        <v/>
      </c>
      <c r="P100" s="35" t="str">
        <f aca="false">IF(L100&gt;$B$6,"",INDEX(Example!$AD$7:$AD$506,MATCH(L100,Example!$AI$7:$AI$506,0)))</f>
        <v/>
      </c>
      <c r="Q100" s="34" t="n">
        <f aca="false">IF(L100&gt;$B$6,Q99,Q99+O100)</f>
        <v>22057.5</v>
      </c>
      <c r="R100" s="34" t="str">
        <f aca="false">IF(L100&gt;$B$6,"",Q100-MAX($Q$5:Q100))</f>
        <v/>
      </c>
    </row>
    <row r="101" customFormat="false" ht="15" hidden="false" customHeight="false" outlineLevel="0" collapsed="false">
      <c r="L101" s="0" t="n">
        <v>96</v>
      </c>
      <c r="M101" s="37" t="str">
        <f aca="false">IF(L101&gt;$B$6,"",INDEX(Example!$P$7:$P$506,MATCH(L101,Example!$AI$7:$AI$506,0)))</f>
        <v/>
      </c>
      <c r="N101" s="0" t="str">
        <f aca="false">IF(L101&gt;$B$6,"",INDEX(Example!$A$7:$A$506,MATCH(L101,Example!$AI$7:$AI$506,0)))</f>
        <v/>
      </c>
      <c r="O101" s="34" t="str">
        <f aca="false">IF(L101&gt;$B$6,"",INDEX(Example!$AC$7:$AC$506,MATCH(L101,Example!$AI$7:$AI$506,0)))</f>
        <v/>
      </c>
      <c r="P101" s="35" t="str">
        <f aca="false">IF(L101&gt;$B$6,"",INDEX(Example!$AD$7:$AD$506,MATCH(L101,Example!$AI$7:$AI$506,0)))</f>
        <v/>
      </c>
      <c r="Q101" s="34" t="n">
        <f aca="false">IF(L101&gt;$B$6,Q100,Q100+O101)</f>
        <v>22057.5</v>
      </c>
      <c r="R101" s="34" t="str">
        <f aca="false">IF(L101&gt;$B$6,"",Q101-MAX($Q$5:Q101))</f>
        <v/>
      </c>
    </row>
    <row r="102" customFormat="false" ht="15" hidden="false" customHeight="false" outlineLevel="0" collapsed="false">
      <c r="L102" s="0" t="n">
        <v>97</v>
      </c>
      <c r="M102" s="37" t="str">
        <f aca="false">IF(L102&gt;$B$6,"",INDEX(Example!$P$7:$P$506,MATCH(L102,Example!$AI$7:$AI$506,0)))</f>
        <v/>
      </c>
      <c r="N102" s="0" t="str">
        <f aca="false">IF(L102&gt;$B$6,"",INDEX(Example!$A$7:$A$506,MATCH(L102,Example!$AI$7:$AI$506,0)))</f>
        <v/>
      </c>
      <c r="O102" s="34" t="str">
        <f aca="false">IF(L102&gt;$B$6,"",INDEX(Example!$AC$7:$AC$506,MATCH(L102,Example!$AI$7:$AI$506,0)))</f>
        <v/>
      </c>
      <c r="P102" s="35" t="str">
        <f aca="false">IF(L102&gt;$B$6,"",INDEX(Example!$AD$7:$AD$506,MATCH(L102,Example!$AI$7:$AI$506,0)))</f>
        <v/>
      </c>
      <c r="Q102" s="34" t="n">
        <f aca="false">IF(L102&gt;$B$6,Q101,Q101+O102)</f>
        <v>22057.5</v>
      </c>
      <c r="R102" s="34" t="str">
        <f aca="false">IF(L102&gt;$B$6,"",Q102-MAX($Q$5:Q102))</f>
        <v/>
      </c>
    </row>
    <row r="103" customFormat="false" ht="15" hidden="false" customHeight="false" outlineLevel="0" collapsed="false">
      <c r="L103" s="0" t="n">
        <v>98</v>
      </c>
      <c r="M103" s="37" t="str">
        <f aca="false">IF(L103&gt;$B$6,"",INDEX(Example!$P$7:$P$506,MATCH(L103,Example!$AI$7:$AI$506,0)))</f>
        <v/>
      </c>
      <c r="N103" s="0" t="str">
        <f aca="false">IF(L103&gt;$B$6,"",INDEX(Example!$A$7:$A$506,MATCH(L103,Example!$AI$7:$AI$506,0)))</f>
        <v/>
      </c>
      <c r="O103" s="34" t="str">
        <f aca="false">IF(L103&gt;$B$6,"",INDEX(Example!$AC$7:$AC$506,MATCH(L103,Example!$AI$7:$AI$506,0)))</f>
        <v/>
      </c>
      <c r="P103" s="35" t="str">
        <f aca="false">IF(L103&gt;$B$6,"",INDEX(Example!$AD$7:$AD$506,MATCH(L103,Example!$AI$7:$AI$506,0)))</f>
        <v/>
      </c>
      <c r="Q103" s="34" t="n">
        <f aca="false">IF(L103&gt;$B$6,Q102,Q102+O103)</f>
        <v>22057.5</v>
      </c>
      <c r="R103" s="34" t="str">
        <f aca="false">IF(L103&gt;$B$6,"",Q103-MAX($Q$5:Q103))</f>
        <v/>
      </c>
    </row>
    <row r="104" customFormat="false" ht="15" hidden="false" customHeight="false" outlineLevel="0" collapsed="false">
      <c r="L104" s="0" t="n">
        <v>99</v>
      </c>
      <c r="M104" s="37" t="str">
        <f aca="false">IF(L104&gt;$B$6,"",INDEX(Example!$P$7:$P$506,MATCH(L104,Example!$AI$7:$AI$506,0)))</f>
        <v/>
      </c>
      <c r="N104" s="0" t="str">
        <f aca="false">IF(L104&gt;$B$6,"",INDEX(Example!$A$7:$A$506,MATCH(L104,Example!$AI$7:$AI$506,0)))</f>
        <v/>
      </c>
      <c r="O104" s="34" t="str">
        <f aca="false">IF(L104&gt;$B$6,"",INDEX(Example!$AC$7:$AC$506,MATCH(L104,Example!$AI$7:$AI$506,0)))</f>
        <v/>
      </c>
      <c r="P104" s="35" t="str">
        <f aca="false">IF(L104&gt;$B$6,"",INDEX(Example!$AD$7:$AD$506,MATCH(L104,Example!$AI$7:$AI$506,0)))</f>
        <v/>
      </c>
      <c r="Q104" s="34" t="n">
        <f aca="false">IF(L104&gt;$B$6,Q103,Q103+O104)</f>
        <v>22057.5</v>
      </c>
      <c r="R104" s="34" t="str">
        <f aca="false">IF(L104&gt;$B$6,"",Q104-MAX($Q$5:Q104))</f>
        <v/>
      </c>
    </row>
    <row r="105" customFormat="false" ht="15" hidden="false" customHeight="false" outlineLevel="0" collapsed="false">
      <c r="L105" s="0" t="n">
        <v>100</v>
      </c>
      <c r="M105" s="37" t="str">
        <f aca="false">IF(L105&gt;$B$6,"",INDEX(Example!$P$7:$P$506,MATCH(L105,Example!$AI$7:$AI$506,0)))</f>
        <v/>
      </c>
      <c r="N105" s="0" t="str">
        <f aca="false">IF(L105&gt;$B$6,"",INDEX(Example!$A$7:$A$506,MATCH(L105,Example!$AI$7:$AI$506,0)))</f>
        <v/>
      </c>
      <c r="O105" s="34" t="str">
        <f aca="false">IF(L105&gt;$B$6,"",INDEX(Example!$AC$7:$AC$506,MATCH(L105,Example!$AI$7:$AI$506,0)))</f>
        <v/>
      </c>
      <c r="P105" s="35" t="str">
        <f aca="false">IF(L105&gt;$B$6,"",INDEX(Example!$AD$7:$AD$506,MATCH(L105,Example!$AI$7:$AI$506,0)))</f>
        <v/>
      </c>
      <c r="Q105" s="34" t="n">
        <f aca="false">IF(L105&gt;$B$6,Q104,Q104+O105)</f>
        <v>22057.5</v>
      </c>
      <c r="R105" s="34" t="str">
        <f aca="false">IF(L105&gt;$B$6,"",Q105-MAX($Q$5:Q105))</f>
        <v/>
      </c>
    </row>
    <row r="106" customFormat="false" ht="15" hidden="false" customHeight="false" outlineLevel="0" collapsed="false">
      <c r="L106" s="0" t="n">
        <v>101</v>
      </c>
      <c r="M106" s="37" t="str">
        <f aca="false">IF(L106&gt;$B$6,"",INDEX(Example!$P$7:$P$506,MATCH(L106,Example!$AI$7:$AI$506,0)))</f>
        <v/>
      </c>
      <c r="N106" s="0" t="str">
        <f aca="false">IF(L106&gt;$B$6,"",INDEX(Example!$A$7:$A$506,MATCH(L106,Example!$AI$7:$AI$506,0)))</f>
        <v/>
      </c>
      <c r="O106" s="34" t="str">
        <f aca="false">IF(L106&gt;$B$6,"",INDEX(Example!$AC$7:$AC$506,MATCH(L106,Example!$AI$7:$AI$506,0)))</f>
        <v/>
      </c>
      <c r="P106" s="35" t="str">
        <f aca="false">IF(L106&gt;$B$6,"",INDEX(Example!$AD$7:$AD$506,MATCH(L106,Example!$AI$7:$AI$506,0)))</f>
        <v/>
      </c>
      <c r="Q106" s="34" t="n">
        <f aca="false">IF(L106&gt;$B$6,Q105,Q105+O106)</f>
        <v>22057.5</v>
      </c>
      <c r="R106" s="34" t="str">
        <f aca="false">IF(L106&gt;$B$6,"",Q106-MAX($Q$5:Q106))</f>
        <v/>
      </c>
    </row>
    <row r="107" customFormat="false" ht="15" hidden="false" customHeight="false" outlineLevel="0" collapsed="false">
      <c r="L107" s="0" t="n">
        <v>102</v>
      </c>
      <c r="M107" s="37" t="str">
        <f aca="false">IF(L107&gt;$B$6,"",INDEX(Example!$P$7:$P$506,MATCH(L107,Example!$AI$7:$AI$506,0)))</f>
        <v/>
      </c>
      <c r="N107" s="0" t="str">
        <f aca="false">IF(L107&gt;$B$6,"",INDEX(Example!$A$7:$A$506,MATCH(L107,Example!$AI$7:$AI$506,0)))</f>
        <v/>
      </c>
      <c r="O107" s="34" t="str">
        <f aca="false">IF(L107&gt;$B$6,"",INDEX(Example!$AC$7:$AC$506,MATCH(L107,Example!$AI$7:$AI$506,0)))</f>
        <v/>
      </c>
      <c r="P107" s="35" t="str">
        <f aca="false">IF(L107&gt;$B$6,"",INDEX(Example!$AD$7:$AD$506,MATCH(L107,Example!$AI$7:$AI$506,0)))</f>
        <v/>
      </c>
      <c r="Q107" s="34" t="n">
        <f aca="false">IF(L107&gt;$B$6,Q106,Q106+O107)</f>
        <v>22057.5</v>
      </c>
      <c r="R107" s="34" t="str">
        <f aca="false">IF(L107&gt;$B$6,"",Q107-MAX($Q$5:Q107))</f>
        <v/>
      </c>
    </row>
    <row r="108" customFormat="false" ht="15" hidden="false" customHeight="false" outlineLevel="0" collapsed="false">
      <c r="L108" s="0" t="n">
        <v>103</v>
      </c>
      <c r="M108" s="37" t="str">
        <f aca="false">IF(L108&gt;$B$6,"",INDEX(Example!$P$7:$P$506,MATCH(L108,Example!$AI$7:$AI$506,0)))</f>
        <v/>
      </c>
      <c r="N108" s="0" t="str">
        <f aca="false">IF(L108&gt;$B$6,"",INDEX(Example!$A$7:$A$506,MATCH(L108,Example!$AI$7:$AI$506,0)))</f>
        <v/>
      </c>
      <c r="O108" s="34" t="str">
        <f aca="false">IF(L108&gt;$B$6,"",INDEX(Example!$AC$7:$AC$506,MATCH(L108,Example!$AI$7:$AI$506,0)))</f>
        <v/>
      </c>
      <c r="P108" s="35" t="str">
        <f aca="false">IF(L108&gt;$B$6,"",INDEX(Example!$AD$7:$AD$506,MATCH(L108,Example!$AI$7:$AI$506,0)))</f>
        <v/>
      </c>
      <c r="Q108" s="34" t="n">
        <f aca="false">IF(L108&gt;$B$6,Q107,Q107+O108)</f>
        <v>22057.5</v>
      </c>
      <c r="R108" s="34" t="str">
        <f aca="false">IF(L108&gt;$B$6,"",Q108-MAX($Q$5:Q108))</f>
        <v/>
      </c>
    </row>
    <row r="109" customFormat="false" ht="15" hidden="false" customHeight="false" outlineLevel="0" collapsed="false">
      <c r="L109" s="0" t="n">
        <v>104</v>
      </c>
      <c r="M109" s="37" t="str">
        <f aca="false">IF(L109&gt;$B$6,"",INDEX(Example!$P$7:$P$506,MATCH(L109,Example!$AI$7:$AI$506,0)))</f>
        <v/>
      </c>
      <c r="N109" s="0" t="str">
        <f aca="false">IF(L109&gt;$B$6,"",INDEX(Example!$A$7:$A$506,MATCH(L109,Example!$AI$7:$AI$506,0)))</f>
        <v/>
      </c>
      <c r="O109" s="34" t="str">
        <f aca="false">IF(L109&gt;$B$6,"",INDEX(Example!$AC$7:$AC$506,MATCH(L109,Example!$AI$7:$AI$506,0)))</f>
        <v/>
      </c>
      <c r="P109" s="35" t="str">
        <f aca="false">IF(L109&gt;$B$6,"",INDEX(Example!$AD$7:$AD$506,MATCH(L109,Example!$AI$7:$AI$506,0)))</f>
        <v/>
      </c>
      <c r="Q109" s="34" t="n">
        <f aca="false">IF(L109&gt;$B$6,Q108,Q108+O109)</f>
        <v>22057.5</v>
      </c>
      <c r="R109" s="34" t="str">
        <f aca="false">IF(L109&gt;$B$6,"",Q109-MAX($Q$5:Q109))</f>
        <v/>
      </c>
    </row>
    <row r="110" customFormat="false" ht="15" hidden="false" customHeight="false" outlineLevel="0" collapsed="false">
      <c r="L110" s="0" t="n">
        <v>105</v>
      </c>
      <c r="M110" s="37" t="str">
        <f aca="false">IF(L110&gt;$B$6,"",INDEX(Example!$P$7:$P$506,MATCH(L110,Example!$AI$7:$AI$506,0)))</f>
        <v/>
      </c>
      <c r="N110" s="0" t="str">
        <f aca="false">IF(L110&gt;$B$6,"",INDEX(Example!$A$7:$A$506,MATCH(L110,Example!$AI$7:$AI$506,0)))</f>
        <v/>
      </c>
      <c r="O110" s="34" t="str">
        <f aca="false">IF(L110&gt;$B$6,"",INDEX(Example!$AC$7:$AC$506,MATCH(L110,Example!$AI$7:$AI$506,0)))</f>
        <v/>
      </c>
      <c r="P110" s="35" t="str">
        <f aca="false">IF(L110&gt;$B$6,"",INDEX(Example!$AD$7:$AD$506,MATCH(L110,Example!$AI$7:$AI$506,0)))</f>
        <v/>
      </c>
      <c r="Q110" s="34" t="n">
        <f aca="false">IF(L110&gt;$B$6,Q109,Q109+O110)</f>
        <v>22057.5</v>
      </c>
      <c r="R110" s="34" t="str">
        <f aca="false">IF(L110&gt;$B$6,"",Q110-MAX($Q$5:Q110))</f>
        <v/>
      </c>
    </row>
    <row r="111" customFormat="false" ht="15" hidden="false" customHeight="false" outlineLevel="0" collapsed="false">
      <c r="L111" s="0" t="n">
        <v>106</v>
      </c>
      <c r="M111" s="37" t="str">
        <f aca="false">IF(L111&gt;$B$6,"",INDEX(Example!$P$7:$P$506,MATCH(L111,Example!$AI$7:$AI$506,0)))</f>
        <v/>
      </c>
      <c r="N111" s="0" t="str">
        <f aca="false">IF(L111&gt;$B$6,"",INDEX(Example!$A$7:$A$506,MATCH(L111,Example!$AI$7:$AI$506,0)))</f>
        <v/>
      </c>
      <c r="O111" s="34" t="str">
        <f aca="false">IF(L111&gt;$B$6,"",INDEX(Example!$AC$7:$AC$506,MATCH(L111,Example!$AI$7:$AI$506,0)))</f>
        <v/>
      </c>
      <c r="P111" s="35" t="str">
        <f aca="false">IF(L111&gt;$B$6,"",INDEX(Example!$AD$7:$AD$506,MATCH(L111,Example!$AI$7:$AI$506,0)))</f>
        <v/>
      </c>
      <c r="Q111" s="34" t="n">
        <f aca="false">IF(L111&gt;$B$6,Q110,Q110+O111)</f>
        <v>22057.5</v>
      </c>
      <c r="R111" s="34" t="str">
        <f aca="false">IF(L111&gt;$B$6,"",Q111-MAX($Q$5:Q111))</f>
        <v/>
      </c>
    </row>
    <row r="112" customFormat="false" ht="15" hidden="false" customHeight="false" outlineLevel="0" collapsed="false">
      <c r="L112" s="0" t="n">
        <v>107</v>
      </c>
      <c r="M112" s="37" t="str">
        <f aca="false">IF(L112&gt;$B$6,"",INDEX(Example!$P$7:$P$506,MATCH(L112,Example!$AI$7:$AI$506,0)))</f>
        <v/>
      </c>
      <c r="N112" s="0" t="str">
        <f aca="false">IF(L112&gt;$B$6,"",INDEX(Example!$A$7:$A$506,MATCH(L112,Example!$AI$7:$AI$506,0)))</f>
        <v/>
      </c>
      <c r="O112" s="34" t="str">
        <f aca="false">IF(L112&gt;$B$6,"",INDEX(Example!$AC$7:$AC$506,MATCH(L112,Example!$AI$7:$AI$506,0)))</f>
        <v/>
      </c>
      <c r="P112" s="35" t="str">
        <f aca="false">IF(L112&gt;$B$6,"",INDEX(Example!$AD$7:$AD$506,MATCH(L112,Example!$AI$7:$AI$506,0)))</f>
        <v/>
      </c>
      <c r="Q112" s="34" t="n">
        <f aca="false">IF(L112&gt;$B$6,Q111,Q111+O112)</f>
        <v>22057.5</v>
      </c>
      <c r="R112" s="34" t="str">
        <f aca="false">IF(L112&gt;$B$6,"",Q112-MAX($Q$5:Q112))</f>
        <v/>
      </c>
    </row>
    <row r="113" customFormat="false" ht="15" hidden="false" customHeight="false" outlineLevel="0" collapsed="false">
      <c r="L113" s="0" t="n">
        <v>108</v>
      </c>
      <c r="M113" s="37" t="str">
        <f aca="false">IF(L113&gt;$B$6,"",INDEX(Example!$P$7:$P$506,MATCH(L113,Example!$AI$7:$AI$506,0)))</f>
        <v/>
      </c>
      <c r="N113" s="0" t="str">
        <f aca="false">IF(L113&gt;$B$6,"",INDEX(Example!$A$7:$A$506,MATCH(L113,Example!$AI$7:$AI$506,0)))</f>
        <v/>
      </c>
      <c r="O113" s="34" t="str">
        <f aca="false">IF(L113&gt;$B$6,"",INDEX(Example!$AC$7:$AC$506,MATCH(L113,Example!$AI$7:$AI$506,0)))</f>
        <v/>
      </c>
      <c r="P113" s="35" t="str">
        <f aca="false">IF(L113&gt;$B$6,"",INDEX(Example!$AD$7:$AD$506,MATCH(L113,Example!$AI$7:$AI$506,0)))</f>
        <v/>
      </c>
      <c r="Q113" s="34" t="n">
        <f aca="false">IF(L113&gt;$B$6,Q112,Q112+O113)</f>
        <v>22057.5</v>
      </c>
      <c r="R113" s="34" t="str">
        <f aca="false">IF(L113&gt;$B$6,"",Q113-MAX($Q$5:Q113))</f>
        <v/>
      </c>
    </row>
    <row r="114" customFormat="false" ht="15" hidden="false" customHeight="false" outlineLevel="0" collapsed="false">
      <c r="L114" s="0" t="n">
        <v>109</v>
      </c>
      <c r="M114" s="37" t="str">
        <f aca="false">IF(L114&gt;$B$6,"",INDEX(Example!$P$7:$P$506,MATCH(L114,Example!$AI$7:$AI$506,0)))</f>
        <v/>
      </c>
      <c r="N114" s="0" t="str">
        <f aca="false">IF(L114&gt;$B$6,"",INDEX(Example!$A$7:$A$506,MATCH(L114,Example!$AI$7:$AI$506,0)))</f>
        <v/>
      </c>
      <c r="O114" s="34" t="str">
        <f aca="false">IF(L114&gt;$B$6,"",INDEX(Example!$AC$7:$AC$506,MATCH(L114,Example!$AI$7:$AI$506,0)))</f>
        <v/>
      </c>
      <c r="P114" s="35" t="str">
        <f aca="false">IF(L114&gt;$B$6,"",INDEX(Example!$AD$7:$AD$506,MATCH(L114,Example!$AI$7:$AI$506,0)))</f>
        <v/>
      </c>
      <c r="Q114" s="34" t="n">
        <f aca="false">IF(L114&gt;$B$6,Q113,Q113+O114)</f>
        <v>22057.5</v>
      </c>
      <c r="R114" s="34" t="str">
        <f aca="false">IF(L114&gt;$B$6,"",Q114-MAX($Q$5:Q114))</f>
        <v/>
      </c>
    </row>
    <row r="115" customFormat="false" ht="15" hidden="false" customHeight="false" outlineLevel="0" collapsed="false">
      <c r="L115" s="0" t="n">
        <v>110</v>
      </c>
      <c r="M115" s="37" t="str">
        <f aca="false">IF(L115&gt;$B$6,"",INDEX(Example!$P$7:$P$506,MATCH(L115,Example!$AI$7:$AI$506,0)))</f>
        <v/>
      </c>
      <c r="N115" s="0" t="str">
        <f aca="false">IF(L115&gt;$B$6,"",INDEX(Example!$A$7:$A$506,MATCH(L115,Example!$AI$7:$AI$506,0)))</f>
        <v/>
      </c>
      <c r="O115" s="34" t="str">
        <f aca="false">IF(L115&gt;$B$6,"",INDEX(Example!$AC$7:$AC$506,MATCH(L115,Example!$AI$7:$AI$506,0)))</f>
        <v/>
      </c>
      <c r="P115" s="35" t="str">
        <f aca="false">IF(L115&gt;$B$6,"",INDEX(Example!$AD$7:$AD$506,MATCH(L115,Example!$AI$7:$AI$506,0)))</f>
        <v/>
      </c>
      <c r="Q115" s="34" t="n">
        <f aca="false">IF(L115&gt;$B$6,Q114,Q114+O115)</f>
        <v>22057.5</v>
      </c>
      <c r="R115" s="34" t="str">
        <f aca="false">IF(L115&gt;$B$6,"",Q115-MAX($Q$5:Q115))</f>
        <v/>
      </c>
    </row>
    <row r="116" customFormat="false" ht="15" hidden="false" customHeight="false" outlineLevel="0" collapsed="false">
      <c r="L116" s="0" t="n">
        <v>111</v>
      </c>
      <c r="M116" s="37" t="str">
        <f aca="false">IF(L116&gt;$B$6,"",INDEX(Example!$P$7:$P$506,MATCH(L116,Example!$AI$7:$AI$506,0)))</f>
        <v/>
      </c>
      <c r="N116" s="0" t="str">
        <f aca="false">IF(L116&gt;$B$6,"",INDEX(Example!$A$7:$A$506,MATCH(L116,Example!$AI$7:$AI$506,0)))</f>
        <v/>
      </c>
      <c r="O116" s="34" t="str">
        <f aca="false">IF(L116&gt;$B$6,"",INDEX(Example!$AC$7:$AC$506,MATCH(L116,Example!$AI$7:$AI$506,0)))</f>
        <v/>
      </c>
      <c r="P116" s="35" t="str">
        <f aca="false">IF(L116&gt;$B$6,"",INDEX(Example!$AD$7:$AD$506,MATCH(L116,Example!$AI$7:$AI$506,0)))</f>
        <v/>
      </c>
      <c r="Q116" s="34" t="n">
        <f aca="false">IF(L116&gt;$B$6,Q115,Q115+O116)</f>
        <v>22057.5</v>
      </c>
      <c r="R116" s="34" t="str">
        <f aca="false">IF(L116&gt;$B$6,"",Q116-MAX($Q$5:Q116))</f>
        <v/>
      </c>
    </row>
    <row r="117" customFormat="false" ht="15" hidden="false" customHeight="false" outlineLevel="0" collapsed="false">
      <c r="L117" s="0" t="n">
        <v>112</v>
      </c>
      <c r="M117" s="37" t="str">
        <f aca="false">IF(L117&gt;$B$6,"",INDEX(Example!$P$7:$P$506,MATCH(L117,Example!$AI$7:$AI$506,0)))</f>
        <v/>
      </c>
      <c r="N117" s="0" t="str">
        <f aca="false">IF(L117&gt;$B$6,"",INDEX(Example!$A$7:$A$506,MATCH(L117,Example!$AI$7:$AI$506,0)))</f>
        <v/>
      </c>
      <c r="O117" s="34" t="str">
        <f aca="false">IF(L117&gt;$B$6,"",INDEX(Example!$AC$7:$AC$506,MATCH(L117,Example!$AI$7:$AI$506,0)))</f>
        <v/>
      </c>
      <c r="P117" s="35" t="str">
        <f aca="false">IF(L117&gt;$B$6,"",INDEX(Example!$AD$7:$AD$506,MATCH(L117,Example!$AI$7:$AI$506,0)))</f>
        <v/>
      </c>
      <c r="Q117" s="34" t="n">
        <f aca="false">IF(L117&gt;$B$6,Q116,Q116+O117)</f>
        <v>22057.5</v>
      </c>
      <c r="R117" s="34" t="str">
        <f aca="false">IF(L117&gt;$B$6,"",Q117-MAX($Q$5:Q117))</f>
        <v/>
      </c>
    </row>
    <row r="118" customFormat="false" ht="15" hidden="false" customHeight="false" outlineLevel="0" collapsed="false">
      <c r="L118" s="0" t="n">
        <v>113</v>
      </c>
      <c r="M118" s="37" t="str">
        <f aca="false">IF(L118&gt;$B$6,"",INDEX(Example!$P$7:$P$506,MATCH(L118,Example!$AI$7:$AI$506,0)))</f>
        <v/>
      </c>
      <c r="N118" s="0" t="str">
        <f aca="false">IF(L118&gt;$B$6,"",INDEX(Example!$A$7:$A$506,MATCH(L118,Example!$AI$7:$AI$506,0)))</f>
        <v/>
      </c>
      <c r="O118" s="34" t="str">
        <f aca="false">IF(L118&gt;$B$6,"",INDEX(Example!$AC$7:$AC$506,MATCH(L118,Example!$AI$7:$AI$506,0)))</f>
        <v/>
      </c>
      <c r="P118" s="35" t="str">
        <f aca="false">IF(L118&gt;$B$6,"",INDEX(Example!$AD$7:$AD$506,MATCH(L118,Example!$AI$7:$AI$506,0)))</f>
        <v/>
      </c>
      <c r="Q118" s="34" t="n">
        <f aca="false">IF(L118&gt;$B$6,Q117,Q117+O118)</f>
        <v>22057.5</v>
      </c>
      <c r="R118" s="34" t="str">
        <f aca="false">IF(L118&gt;$B$6,"",Q118-MAX($Q$5:Q118))</f>
        <v/>
      </c>
    </row>
    <row r="119" customFormat="false" ht="15" hidden="false" customHeight="false" outlineLevel="0" collapsed="false">
      <c r="L119" s="0" t="n">
        <v>114</v>
      </c>
      <c r="M119" s="37" t="str">
        <f aca="false">IF(L119&gt;$B$6,"",INDEX(Example!$P$7:$P$506,MATCH(L119,Example!$AI$7:$AI$506,0)))</f>
        <v/>
      </c>
      <c r="N119" s="0" t="str">
        <f aca="false">IF(L119&gt;$B$6,"",INDEX(Example!$A$7:$A$506,MATCH(L119,Example!$AI$7:$AI$506,0)))</f>
        <v/>
      </c>
      <c r="O119" s="34" t="str">
        <f aca="false">IF(L119&gt;$B$6,"",INDEX(Example!$AC$7:$AC$506,MATCH(L119,Example!$AI$7:$AI$506,0)))</f>
        <v/>
      </c>
      <c r="P119" s="35" t="str">
        <f aca="false">IF(L119&gt;$B$6,"",INDEX(Example!$AD$7:$AD$506,MATCH(L119,Example!$AI$7:$AI$506,0)))</f>
        <v/>
      </c>
      <c r="Q119" s="34" t="n">
        <f aca="false">IF(L119&gt;$B$6,Q118,Q118+O119)</f>
        <v>22057.5</v>
      </c>
      <c r="R119" s="34" t="str">
        <f aca="false">IF(L119&gt;$B$6,"",Q119-MAX($Q$5:Q119))</f>
        <v/>
      </c>
    </row>
    <row r="120" customFormat="false" ht="15" hidden="false" customHeight="false" outlineLevel="0" collapsed="false">
      <c r="L120" s="0" t="n">
        <v>115</v>
      </c>
      <c r="M120" s="37" t="str">
        <f aca="false">IF(L120&gt;$B$6,"",INDEX(Example!$P$7:$P$506,MATCH(L120,Example!$AI$7:$AI$506,0)))</f>
        <v/>
      </c>
      <c r="N120" s="0" t="str">
        <f aca="false">IF(L120&gt;$B$6,"",INDEX(Example!$A$7:$A$506,MATCH(L120,Example!$AI$7:$AI$506,0)))</f>
        <v/>
      </c>
      <c r="O120" s="34" t="str">
        <f aca="false">IF(L120&gt;$B$6,"",INDEX(Example!$AC$7:$AC$506,MATCH(L120,Example!$AI$7:$AI$506,0)))</f>
        <v/>
      </c>
      <c r="P120" s="35" t="str">
        <f aca="false">IF(L120&gt;$B$6,"",INDEX(Example!$AD$7:$AD$506,MATCH(L120,Example!$AI$7:$AI$506,0)))</f>
        <v/>
      </c>
      <c r="Q120" s="34" t="n">
        <f aca="false">IF(L120&gt;$B$6,Q119,Q119+O120)</f>
        <v>22057.5</v>
      </c>
      <c r="R120" s="34" t="str">
        <f aca="false">IF(L120&gt;$B$6,"",Q120-MAX($Q$5:Q120))</f>
        <v/>
      </c>
    </row>
    <row r="121" customFormat="false" ht="15" hidden="false" customHeight="false" outlineLevel="0" collapsed="false">
      <c r="L121" s="0" t="n">
        <v>116</v>
      </c>
      <c r="M121" s="37" t="str">
        <f aca="false">IF(L121&gt;$B$6,"",INDEX(Example!$P$7:$P$506,MATCH(L121,Example!$AI$7:$AI$506,0)))</f>
        <v/>
      </c>
      <c r="N121" s="0" t="str">
        <f aca="false">IF(L121&gt;$B$6,"",INDEX(Example!$A$7:$A$506,MATCH(L121,Example!$AI$7:$AI$506,0)))</f>
        <v/>
      </c>
      <c r="O121" s="34" t="str">
        <f aca="false">IF(L121&gt;$B$6,"",INDEX(Example!$AC$7:$AC$506,MATCH(L121,Example!$AI$7:$AI$506,0)))</f>
        <v/>
      </c>
      <c r="P121" s="35" t="str">
        <f aca="false">IF(L121&gt;$B$6,"",INDEX(Example!$AD$7:$AD$506,MATCH(L121,Example!$AI$7:$AI$506,0)))</f>
        <v/>
      </c>
      <c r="Q121" s="34" t="n">
        <f aca="false">IF(L121&gt;$B$6,Q120,Q120+O121)</f>
        <v>22057.5</v>
      </c>
      <c r="R121" s="34" t="str">
        <f aca="false">IF(L121&gt;$B$6,"",Q121-MAX($Q$5:Q121))</f>
        <v/>
      </c>
    </row>
    <row r="122" customFormat="false" ht="15" hidden="false" customHeight="false" outlineLevel="0" collapsed="false">
      <c r="L122" s="0" t="n">
        <v>117</v>
      </c>
      <c r="M122" s="37" t="str">
        <f aca="false">IF(L122&gt;$B$6,"",INDEX(Example!$P$7:$P$506,MATCH(L122,Example!$AI$7:$AI$506,0)))</f>
        <v/>
      </c>
      <c r="N122" s="0" t="str">
        <f aca="false">IF(L122&gt;$B$6,"",INDEX(Example!$A$7:$A$506,MATCH(L122,Example!$AI$7:$AI$506,0)))</f>
        <v/>
      </c>
      <c r="O122" s="34" t="str">
        <f aca="false">IF(L122&gt;$B$6,"",INDEX(Example!$AC$7:$AC$506,MATCH(L122,Example!$AI$7:$AI$506,0)))</f>
        <v/>
      </c>
      <c r="P122" s="35" t="str">
        <f aca="false">IF(L122&gt;$B$6,"",INDEX(Example!$AD$7:$AD$506,MATCH(L122,Example!$AI$7:$AI$506,0)))</f>
        <v/>
      </c>
      <c r="Q122" s="34" t="n">
        <f aca="false">IF(L122&gt;$B$6,Q121,Q121+O122)</f>
        <v>22057.5</v>
      </c>
      <c r="R122" s="34" t="str">
        <f aca="false">IF(L122&gt;$B$6,"",Q122-MAX($Q$5:Q122))</f>
        <v/>
      </c>
    </row>
    <row r="123" customFormat="false" ht="15" hidden="false" customHeight="false" outlineLevel="0" collapsed="false">
      <c r="L123" s="0" t="n">
        <v>118</v>
      </c>
      <c r="M123" s="37" t="str">
        <f aca="false">IF(L123&gt;$B$6,"",INDEX(Example!$P$7:$P$506,MATCH(L123,Example!$AI$7:$AI$506,0)))</f>
        <v/>
      </c>
      <c r="N123" s="0" t="str">
        <f aca="false">IF(L123&gt;$B$6,"",INDEX(Example!$A$7:$A$506,MATCH(L123,Example!$AI$7:$AI$506,0)))</f>
        <v/>
      </c>
      <c r="O123" s="34" t="str">
        <f aca="false">IF(L123&gt;$B$6,"",INDEX(Example!$AC$7:$AC$506,MATCH(L123,Example!$AI$7:$AI$506,0)))</f>
        <v/>
      </c>
      <c r="P123" s="35" t="str">
        <f aca="false">IF(L123&gt;$B$6,"",INDEX(Example!$AD$7:$AD$506,MATCH(L123,Example!$AI$7:$AI$506,0)))</f>
        <v/>
      </c>
      <c r="Q123" s="34" t="n">
        <f aca="false">IF(L123&gt;$B$6,Q122,Q122+O123)</f>
        <v>22057.5</v>
      </c>
      <c r="R123" s="34" t="str">
        <f aca="false">IF(L123&gt;$B$6,"",Q123-MAX($Q$5:Q123))</f>
        <v/>
      </c>
    </row>
    <row r="124" customFormat="false" ht="15" hidden="false" customHeight="false" outlineLevel="0" collapsed="false">
      <c r="L124" s="0" t="n">
        <v>119</v>
      </c>
      <c r="M124" s="37" t="str">
        <f aca="false">IF(L124&gt;$B$6,"",INDEX(Example!$P$7:$P$506,MATCH(L124,Example!$AI$7:$AI$506,0)))</f>
        <v/>
      </c>
      <c r="N124" s="0" t="str">
        <f aca="false">IF(L124&gt;$B$6,"",INDEX(Example!$A$7:$A$506,MATCH(L124,Example!$AI$7:$AI$506,0)))</f>
        <v/>
      </c>
      <c r="O124" s="34" t="str">
        <f aca="false">IF(L124&gt;$B$6,"",INDEX(Example!$AC$7:$AC$506,MATCH(L124,Example!$AI$7:$AI$506,0)))</f>
        <v/>
      </c>
      <c r="P124" s="35" t="str">
        <f aca="false">IF(L124&gt;$B$6,"",INDEX(Example!$AD$7:$AD$506,MATCH(L124,Example!$AI$7:$AI$506,0)))</f>
        <v/>
      </c>
      <c r="Q124" s="34" t="n">
        <f aca="false">IF(L124&gt;$B$6,Q123,Q123+O124)</f>
        <v>22057.5</v>
      </c>
      <c r="R124" s="34" t="str">
        <f aca="false">IF(L124&gt;$B$6,"",Q124-MAX($Q$5:Q124))</f>
        <v/>
      </c>
    </row>
    <row r="125" customFormat="false" ht="15" hidden="false" customHeight="false" outlineLevel="0" collapsed="false">
      <c r="L125" s="0" t="n">
        <v>120</v>
      </c>
      <c r="M125" s="37" t="str">
        <f aca="false">IF(L125&gt;$B$6,"",INDEX(Example!$P$7:$P$506,MATCH(L125,Example!$AI$7:$AI$506,0)))</f>
        <v/>
      </c>
      <c r="N125" s="0" t="str">
        <f aca="false">IF(L125&gt;$B$6,"",INDEX(Example!$A$7:$A$506,MATCH(L125,Example!$AI$7:$AI$506,0)))</f>
        <v/>
      </c>
      <c r="O125" s="34" t="str">
        <f aca="false">IF(L125&gt;$B$6,"",INDEX(Example!$AC$7:$AC$506,MATCH(L125,Example!$AI$7:$AI$506,0)))</f>
        <v/>
      </c>
      <c r="P125" s="35" t="str">
        <f aca="false">IF(L125&gt;$B$6,"",INDEX(Example!$AD$7:$AD$506,MATCH(L125,Example!$AI$7:$AI$506,0)))</f>
        <v/>
      </c>
      <c r="Q125" s="34" t="n">
        <f aca="false">IF(L125&gt;$B$6,Q124,Q124+O125)</f>
        <v>22057.5</v>
      </c>
      <c r="R125" s="34" t="str">
        <f aca="false">IF(L125&gt;$B$6,"",Q125-MAX($Q$5:Q125))</f>
        <v/>
      </c>
    </row>
    <row r="126" customFormat="false" ht="15" hidden="false" customHeight="false" outlineLevel="0" collapsed="false">
      <c r="L126" s="0" t="n">
        <v>121</v>
      </c>
      <c r="M126" s="37" t="str">
        <f aca="false">IF(L126&gt;$B$6,"",INDEX(Example!$P$7:$P$506,MATCH(L126,Example!$AI$7:$AI$506,0)))</f>
        <v/>
      </c>
      <c r="N126" s="0" t="str">
        <f aca="false">IF(L126&gt;$B$6,"",INDEX(Example!$A$7:$A$506,MATCH(L126,Example!$AI$7:$AI$506,0)))</f>
        <v/>
      </c>
      <c r="O126" s="34" t="str">
        <f aca="false">IF(L126&gt;$B$6,"",INDEX(Example!$AC$7:$AC$506,MATCH(L126,Example!$AI$7:$AI$506,0)))</f>
        <v/>
      </c>
      <c r="P126" s="35" t="str">
        <f aca="false">IF(L126&gt;$B$6,"",INDEX(Example!$AD$7:$AD$506,MATCH(L126,Example!$AI$7:$AI$506,0)))</f>
        <v/>
      </c>
      <c r="Q126" s="34" t="n">
        <f aca="false">IF(L126&gt;$B$6,Q125,Q125+O126)</f>
        <v>22057.5</v>
      </c>
      <c r="R126" s="34" t="str">
        <f aca="false">IF(L126&gt;$B$6,"",Q126-MAX($Q$5:Q126))</f>
        <v/>
      </c>
    </row>
    <row r="127" customFormat="false" ht="15" hidden="false" customHeight="false" outlineLevel="0" collapsed="false">
      <c r="L127" s="0" t="n">
        <v>122</v>
      </c>
      <c r="M127" s="37" t="str">
        <f aca="false">IF(L127&gt;$B$6,"",INDEX(Example!$P$7:$P$506,MATCH(L127,Example!$AI$7:$AI$506,0)))</f>
        <v/>
      </c>
      <c r="N127" s="0" t="str">
        <f aca="false">IF(L127&gt;$B$6,"",INDEX(Example!$A$7:$A$506,MATCH(L127,Example!$AI$7:$AI$506,0)))</f>
        <v/>
      </c>
      <c r="O127" s="34" t="str">
        <f aca="false">IF(L127&gt;$B$6,"",INDEX(Example!$AC$7:$AC$506,MATCH(L127,Example!$AI$7:$AI$506,0)))</f>
        <v/>
      </c>
      <c r="P127" s="35" t="str">
        <f aca="false">IF(L127&gt;$B$6,"",INDEX(Example!$AD$7:$AD$506,MATCH(L127,Example!$AI$7:$AI$506,0)))</f>
        <v/>
      </c>
      <c r="Q127" s="34" t="n">
        <f aca="false">IF(L127&gt;$B$6,Q126,Q126+O127)</f>
        <v>22057.5</v>
      </c>
      <c r="R127" s="34" t="str">
        <f aca="false">IF(L127&gt;$B$6,"",Q127-MAX($Q$5:Q127))</f>
        <v/>
      </c>
    </row>
    <row r="128" customFormat="false" ht="15" hidden="false" customHeight="false" outlineLevel="0" collapsed="false">
      <c r="L128" s="0" t="n">
        <v>123</v>
      </c>
      <c r="M128" s="37" t="str">
        <f aca="false">IF(L128&gt;$B$6,"",INDEX(Example!$P$7:$P$506,MATCH(L128,Example!$AI$7:$AI$506,0)))</f>
        <v/>
      </c>
      <c r="N128" s="0" t="str">
        <f aca="false">IF(L128&gt;$B$6,"",INDEX(Example!$A$7:$A$506,MATCH(L128,Example!$AI$7:$AI$506,0)))</f>
        <v/>
      </c>
      <c r="O128" s="34" t="str">
        <f aca="false">IF(L128&gt;$B$6,"",INDEX(Example!$AC$7:$AC$506,MATCH(L128,Example!$AI$7:$AI$506,0)))</f>
        <v/>
      </c>
      <c r="P128" s="35" t="str">
        <f aca="false">IF(L128&gt;$B$6,"",INDEX(Example!$AD$7:$AD$506,MATCH(L128,Example!$AI$7:$AI$506,0)))</f>
        <v/>
      </c>
      <c r="Q128" s="34" t="n">
        <f aca="false">IF(L128&gt;$B$6,Q127,Q127+O128)</f>
        <v>22057.5</v>
      </c>
      <c r="R128" s="34" t="str">
        <f aca="false">IF(L128&gt;$B$6,"",Q128-MAX($Q$5:Q128))</f>
        <v/>
      </c>
    </row>
    <row r="129" customFormat="false" ht="15" hidden="false" customHeight="false" outlineLevel="0" collapsed="false">
      <c r="L129" s="0" t="n">
        <v>124</v>
      </c>
      <c r="M129" s="37" t="str">
        <f aca="false">IF(L129&gt;$B$6,"",INDEX(Example!$P$7:$P$506,MATCH(L129,Example!$AI$7:$AI$506,0)))</f>
        <v/>
      </c>
      <c r="N129" s="0" t="str">
        <f aca="false">IF(L129&gt;$B$6,"",INDEX(Example!$A$7:$A$506,MATCH(L129,Example!$AI$7:$AI$506,0)))</f>
        <v/>
      </c>
      <c r="O129" s="34" t="str">
        <f aca="false">IF(L129&gt;$B$6,"",INDEX(Example!$AC$7:$AC$506,MATCH(L129,Example!$AI$7:$AI$506,0)))</f>
        <v/>
      </c>
      <c r="P129" s="35" t="str">
        <f aca="false">IF(L129&gt;$B$6,"",INDEX(Example!$AD$7:$AD$506,MATCH(L129,Example!$AI$7:$AI$506,0)))</f>
        <v/>
      </c>
      <c r="Q129" s="34" t="n">
        <f aca="false">IF(L129&gt;$B$6,Q128,Q128+O129)</f>
        <v>22057.5</v>
      </c>
      <c r="R129" s="34" t="str">
        <f aca="false">IF(L129&gt;$B$6,"",Q129-MAX($Q$5:Q129))</f>
        <v/>
      </c>
    </row>
    <row r="130" customFormat="false" ht="15" hidden="false" customHeight="false" outlineLevel="0" collapsed="false">
      <c r="L130" s="0" t="n">
        <v>125</v>
      </c>
      <c r="M130" s="37" t="str">
        <f aca="false">IF(L130&gt;$B$6,"",INDEX(Example!$P$7:$P$506,MATCH(L130,Example!$AI$7:$AI$506,0)))</f>
        <v/>
      </c>
      <c r="N130" s="0" t="str">
        <f aca="false">IF(L130&gt;$B$6,"",INDEX(Example!$A$7:$A$506,MATCH(L130,Example!$AI$7:$AI$506,0)))</f>
        <v/>
      </c>
      <c r="O130" s="34" t="str">
        <f aca="false">IF(L130&gt;$B$6,"",INDEX(Example!$AC$7:$AC$506,MATCH(L130,Example!$AI$7:$AI$506,0)))</f>
        <v/>
      </c>
      <c r="P130" s="35" t="str">
        <f aca="false">IF(L130&gt;$B$6,"",INDEX(Example!$AD$7:$AD$506,MATCH(L130,Example!$AI$7:$AI$506,0)))</f>
        <v/>
      </c>
      <c r="Q130" s="34" t="n">
        <f aca="false">IF(L130&gt;$B$6,Q129,Q129+O130)</f>
        <v>22057.5</v>
      </c>
      <c r="R130" s="34" t="str">
        <f aca="false">IF(L130&gt;$B$6,"",Q130-MAX($Q$5:Q130))</f>
        <v/>
      </c>
    </row>
    <row r="131" customFormat="false" ht="15" hidden="false" customHeight="false" outlineLevel="0" collapsed="false">
      <c r="L131" s="0" t="n">
        <v>126</v>
      </c>
      <c r="M131" s="37" t="str">
        <f aca="false">IF(L131&gt;$B$6,"",INDEX(Example!$P$7:$P$506,MATCH(L131,Example!$AI$7:$AI$506,0)))</f>
        <v/>
      </c>
      <c r="N131" s="0" t="str">
        <f aca="false">IF(L131&gt;$B$6,"",INDEX(Example!$A$7:$A$506,MATCH(L131,Example!$AI$7:$AI$506,0)))</f>
        <v/>
      </c>
      <c r="O131" s="34" t="str">
        <f aca="false">IF(L131&gt;$B$6,"",INDEX(Example!$AC$7:$AC$506,MATCH(L131,Example!$AI$7:$AI$506,0)))</f>
        <v/>
      </c>
      <c r="P131" s="35" t="str">
        <f aca="false">IF(L131&gt;$B$6,"",INDEX(Example!$AD$7:$AD$506,MATCH(L131,Example!$AI$7:$AI$506,0)))</f>
        <v/>
      </c>
      <c r="Q131" s="34" t="n">
        <f aca="false">IF(L131&gt;$B$6,Q130,Q130+O131)</f>
        <v>22057.5</v>
      </c>
      <c r="R131" s="34" t="str">
        <f aca="false">IF(L131&gt;$B$6,"",Q131-MAX($Q$5:Q131))</f>
        <v/>
      </c>
    </row>
    <row r="132" customFormat="false" ht="15" hidden="false" customHeight="false" outlineLevel="0" collapsed="false">
      <c r="L132" s="0" t="n">
        <v>127</v>
      </c>
      <c r="M132" s="37" t="str">
        <f aca="false">IF(L132&gt;$B$6,"",INDEX(Example!$P$7:$P$506,MATCH(L132,Example!$AI$7:$AI$506,0)))</f>
        <v/>
      </c>
      <c r="N132" s="0" t="str">
        <f aca="false">IF(L132&gt;$B$6,"",INDEX(Example!$A$7:$A$506,MATCH(L132,Example!$AI$7:$AI$506,0)))</f>
        <v/>
      </c>
      <c r="O132" s="34" t="str">
        <f aca="false">IF(L132&gt;$B$6,"",INDEX(Example!$AC$7:$AC$506,MATCH(L132,Example!$AI$7:$AI$506,0)))</f>
        <v/>
      </c>
      <c r="P132" s="35" t="str">
        <f aca="false">IF(L132&gt;$B$6,"",INDEX(Example!$AD$7:$AD$506,MATCH(L132,Example!$AI$7:$AI$506,0)))</f>
        <v/>
      </c>
      <c r="Q132" s="34" t="n">
        <f aca="false">IF(L132&gt;$B$6,Q131,Q131+O132)</f>
        <v>22057.5</v>
      </c>
      <c r="R132" s="34" t="str">
        <f aca="false">IF(L132&gt;$B$6,"",Q132-MAX($Q$5:Q132))</f>
        <v/>
      </c>
    </row>
    <row r="133" customFormat="false" ht="15" hidden="false" customHeight="false" outlineLevel="0" collapsed="false">
      <c r="L133" s="0" t="n">
        <v>128</v>
      </c>
      <c r="M133" s="37" t="str">
        <f aca="false">IF(L133&gt;$B$6,"",INDEX(Example!$P$7:$P$506,MATCH(L133,Example!$AI$7:$AI$506,0)))</f>
        <v/>
      </c>
      <c r="N133" s="0" t="str">
        <f aca="false">IF(L133&gt;$B$6,"",INDEX(Example!$A$7:$A$506,MATCH(L133,Example!$AI$7:$AI$506,0)))</f>
        <v/>
      </c>
      <c r="O133" s="34" t="str">
        <f aca="false">IF(L133&gt;$B$6,"",INDEX(Example!$AC$7:$AC$506,MATCH(L133,Example!$AI$7:$AI$506,0)))</f>
        <v/>
      </c>
      <c r="P133" s="35" t="str">
        <f aca="false">IF(L133&gt;$B$6,"",INDEX(Example!$AD$7:$AD$506,MATCH(L133,Example!$AI$7:$AI$506,0)))</f>
        <v/>
      </c>
      <c r="Q133" s="34" t="n">
        <f aca="false">IF(L133&gt;$B$6,Q132,Q132+O133)</f>
        <v>22057.5</v>
      </c>
      <c r="R133" s="34" t="str">
        <f aca="false">IF(L133&gt;$B$6,"",Q133-MAX($Q$5:Q133))</f>
        <v/>
      </c>
    </row>
    <row r="134" customFormat="false" ht="15" hidden="false" customHeight="false" outlineLevel="0" collapsed="false">
      <c r="L134" s="0" t="n">
        <v>129</v>
      </c>
      <c r="M134" s="37" t="str">
        <f aca="false">IF(L134&gt;$B$6,"",INDEX(Example!$P$7:$P$506,MATCH(L134,Example!$AI$7:$AI$506,0)))</f>
        <v/>
      </c>
      <c r="N134" s="0" t="str">
        <f aca="false">IF(L134&gt;$B$6,"",INDEX(Example!$A$7:$A$506,MATCH(L134,Example!$AI$7:$AI$506,0)))</f>
        <v/>
      </c>
      <c r="O134" s="34" t="str">
        <f aca="false">IF(L134&gt;$B$6,"",INDEX(Example!$AC$7:$AC$506,MATCH(L134,Example!$AI$7:$AI$506,0)))</f>
        <v/>
      </c>
      <c r="P134" s="35" t="str">
        <f aca="false">IF(L134&gt;$B$6,"",INDEX(Example!$AD$7:$AD$506,MATCH(L134,Example!$AI$7:$AI$506,0)))</f>
        <v/>
      </c>
      <c r="Q134" s="34" t="n">
        <f aca="false">IF(L134&gt;$B$6,Q133,Q133+O134)</f>
        <v>22057.5</v>
      </c>
      <c r="R134" s="34" t="str">
        <f aca="false">IF(L134&gt;$B$6,"",Q134-MAX($Q$5:Q134))</f>
        <v/>
      </c>
    </row>
    <row r="135" customFormat="false" ht="15" hidden="false" customHeight="false" outlineLevel="0" collapsed="false">
      <c r="L135" s="0" t="n">
        <v>130</v>
      </c>
      <c r="M135" s="37" t="str">
        <f aca="false">IF(L135&gt;$B$6,"",INDEX(Example!$P$7:$P$506,MATCH(L135,Example!$AI$7:$AI$506,0)))</f>
        <v/>
      </c>
      <c r="N135" s="0" t="str">
        <f aca="false">IF(L135&gt;$B$6,"",INDEX(Example!$A$7:$A$506,MATCH(L135,Example!$AI$7:$AI$506,0)))</f>
        <v/>
      </c>
      <c r="O135" s="34" t="str">
        <f aca="false">IF(L135&gt;$B$6,"",INDEX(Example!$AC$7:$AC$506,MATCH(L135,Example!$AI$7:$AI$506,0)))</f>
        <v/>
      </c>
      <c r="P135" s="35" t="str">
        <f aca="false">IF(L135&gt;$B$6,"",INDEX(Example!$AD$7:$AD$506,MATCH(L135,Example!$AI$7:$AI$506,0)))</f>
        <v/>
      </c>
      <c r="Q135" s="34" t="n">
        <f aca="false">IF(L135&gt;$B$6,Q134,Q134+O135)</f>
        <v>22057.5</v>
      </c>
      <c r="R135" s="34" t="str">
        <f aca="false">IF(L135&gt;$B$6,"",Q135-MAX($Q$5:Q135))</f>
        <v/>
      </c>
    </row>
    <row r="136" customFormat="false" ht="15" hidden="false" customHeight="false" outlineLevel="0" collapsed="false">
      <c r="L136" s="0" t="n">
        <v>131</v>
      </c>
      <c r="M136" s="37" t="str">
        <f aca="false">IF(L136&gt;$B$6,"",INDEX(Example!$P$7:$P$506,MATCH(L136,Example!$AI$7:$AI$506,0)))</f>
        <v/>
      </c>
      <c r="N136" s="0" t="str">
        <f aca="false">IF(L136&gt;$B$6,"",INDEX(Example!$A$7:$A$506,MATCH(L136,Example!$AI$7:$AI$506,0)))</f>
        <v/>
      </c>
      <c r="O136" s="34" t="str">
        <f aca="false">IF(L136&gt;$B$6,"",INDEX(Example!$AC$7:$AC$506,MATCH(L136,Example!$AI$7:$AI$506,0)))</f>
        <v/>
      </c>
      <c r="P136" s="35" t="str">
        <f aca="false">IF(L136&gt;$B$6,"",INDEX(Example!$AD$7:$AD$506,MATCH(L136,Example!$AI$7:$AI$506,0)))</f>
        <v/>
      </c>
      <c r="Q136" s="34" t="n">
        <f aca="false">IF(L136&gt;$B$6,Q135,Q135+O136)</f>
        <v>22057.5</v>
      </c>
      <c r="R136" s="34" t="str">
        <f aca="false">IF(L136&gt;$B$6,"",Q136-MAX($Q$5:Q136))</f>
        <v/>
      </c>
    </row>
    <row r="137" customFormat="false" ht="15" hidden="false" customHeight="false" outlineLevel="0" collapsed="false">
      <c r="L137" s="0" t="n">
        <v>132</v>
      </c>
      <c r="M137" s="37" t="str">
        <f aca="false">IF(L137&gt;$B$6,"",INDEX(Example!$P$7:$P$506,MATCH(L137,Example!$AI$7:$AI$506,0)))</f>
        <v/>
      </c>
      <c r="N137" s="0" t="str">
        <f aca="false">IF(L137&gt;$B$6,"",INDEX(Example!$A$7:$A$506,MATCH(L137,Example!$AI$7:$AI$506,0)))</f>
        <v/>
      </c>
      <c r="O137" s="34" t="str">
        <f aca="false">IF(L137&gt;$B$6,"",INDEX(Example!$AC$7:$AC$506,MATCH(L137,Example!$AI$7:$AI$506,0)))</f>
        <v/>
      </c>
      <c r="P137" s="35" t="str">
        <f aca="false">IF(L137&gt;$B$6,"",INDEX(Example!$AD$7:$AD$506,MATCH(L137,Example!$AI$7:$AI$506,0)))</f>
        <v/>
      </c>
      <c r="Q137" s="34" t="n">
        <f aca="false">IF(L137&gt;$B$6,Q136,Q136+O137)</f>
        <v>22057.5</v>
      </c>
      <c r="R137" s="34" t="str">
        <f aca="false">IF(L137&gt;$B$6,"",Q137-MAX($Q$5:Q137))</f>
        <v/>
      </c>
    </row>
    <row r="138" customFormat="false" ht="15" hidden="false" customHeight="false" outlineLevel="0" collapsed="false">
      <c r="L138" s="0" t="n">
        <v>133</v>
      </c>
      <c r="M138" s="37" t="str">
        <f aca="false">IF(L138&gt;$B$6,"",INDEX(Example!$P$7:$P$506,MATCH(L138,Example!$AI$7:$AI$506,0)))</f>
        <v/>
      </c>
      <c r="N138" s="0" t="str">
        <f aca="false">IF(L138&gt;$B$6,"",INDEX(Example!$A$7:$A$506,MATCH(L138,Example!$AI$7:$AI$506,0)))</f>
        <v/>
      </c>
      <c r="O138" s="34" t="str">
        <f aca="false">IF(L138&gt;$B$6,"",INDEX(Example!$AC$7:$AC$506,MATCH(L138,Example!$AI$7:$AI$506,0)))</f>
        <v/>
      </c>
      <c r="P138" s="35" t="str">
        <f aca="false">IF(L138&gt;$B$6,"",INDEX(Example!$AD$7:$AD$506,MATCH(L138,Example!$AI$7:$AI$506,0)))</f>
        <v/>
      </c>
      <c r="Q138" s="34" t="n">
        <f aca="false">IF(L138&gt;$B$6,Q137,Q137+O138)</f>
        <v>22057.5</v>
      </c>
      <c r="R138" s="34" t="str">
        <f aca="false">IF(L138&gt;$B$6,"",Q138-MAX($Q$5:Q138))</f>
        <v/>
      </c>
    </row>
    <row r="139" customFormat="false" ht="15" hidden="false" customHeight="false" outlineLevel="0" collapsed="false">
      <c r="L139" s="0" t="n">
        <v>134</v>
      </c>
      <c r="M139" s="37" t="str">
        <f aca="false">IF(L139&gt;$B$6,"",INDEX(Example!$P$7:$P$506,MATCH(L139,Example!$AI$7:$AI$506,0)))</f>
        <v/>
      </c>
      <c r="N139" s="0" t="str">
        <f aca="false">IF(L139&gt;$B$6,"",INDEX(Example!$A$7:$A$506,MATCH(L139,Example!$AI$7:$AI$506,0)))</f>
        <v/>
      </c>
      <c r="O139" s="34" t="str">
        <f aca="false">IF(L139&gt;$B$6,"",INDEX(Example!$AC$7:$AC$506,MATCH(L139,Example!$AI$7:$AI$506,0)))</f>
        <v/>
      </c>
      <c r="P139" s="35" t="str">
        <f aca="false">IF(L139&gt;$B$6,"",INDEX(Example!$AD$7:$AD$506,MATCH(L139,Example!$AI$7:$AI$506,0)))</f>
        <v/>
      </c>
      <c r="Q139" s="34" t="n">
        <f aca="false">IF(L139&gt;$B$6,Q138,Q138+O139)</f>
        <v>22057.5</v>
      </c>
      <c r="R139" s="34" t="str">
        <f aca="false">IF(L139&gt;$B$6,"",Q139-MAX($Q$5:Q139))</f>
        <v/>
      </c>
    </row>
    <row r="140" customFormat="false" ht="15" hidden="false" customHeight="false" outlineLevel="0" collapsed="false">
      <c r="L140" s="0" t="n">
        <v>135</v>
      </c>
      <c r="M140" s="37" t="str">
        <f aca="false">IF(L140&gt;$B$6,"",INDEX(Example!$P$7:$P$506,MATCH(L140,Example!$AI$7:$AI$506,0)))</f>
        <v/>
      </c>
      <c r="N140" s="0" t="str">
        <f aca="false">IF(L140&gt;$B$6,"",INDEX(Example!$A$7:$A$506,MATCH(L140,Example!$AI$7:$AI$506,0)))</f>
        <v/>
      </c>
      <c r="O140" s="34" t="str">
        <f aca="false">IF(L140&gt;$B$6,"",INDEX(Example!$AC$7:$AC$506,MATCH(L140,Example!$AI$7:$AI$506,0)))</f>
        <v/>
      </c>
      <c r="P140" s="35" t="str">
        <f aca="false">IF(L140&gt;$B$6,"",INDEX(Example!$AD$7:$AD$506,MATCH(L140,Example!$AI$7:$AI$506,0)))</f>
        <v/>
      </c>
      <c r="Q140" s="34" t="n">
        <f aca="false">IF(L140&gt;$B$6,Q139,Q139+O140)</f>
        <v>22057.5</v>
      </c>
      <c r="R140" s="34" t="str">
        <f aca="false">IF(L140&gt;$B$6,"",Q140-MAX($Q$5:Q140))</f>
        <v/>
      </c>
    </row>
    <row r="141" customFormat="false" ht="15" hidden="false" customHeight="false" outlineLevel="0" collapsed="false">
      <c r="L141" s="0" t="n">
        <v>136</v>
      </c>
      <c r="M141" s="37" t="str">
        <f aca="false">IF(L141&gt;$B$6,"",INDEX(Example!$P$7:$P$506,MATCH(L141,Example!$AI$7:$AI$506,0)))</f>
        <v/>
      </c>
      <c r="N141" s="0" t="str">
        <f aca="false">IF(L141&gt;$B$6,"",INDEX(Example!$A$7:$A$506,MATCH(L141,Example!$AI$7:$AI$506,0)))</f>
        <v/>
      </c>
      <c r="O141" s="34" t="str">
        <f aca="false">IF(L141&gt;$B$6,"",INDEX(Example!$AC$7:$AC$506,MATCH(L141,Example!$AI$7:$AI$506,0)))</f>
        <v/>
      </c>
      <c r="P141" s="35" t="str">
        <f aca="false">IF(L141&gt;$B$6,"",INDEX(Example!$AD$7:$AD$506,MATCH(L141,Example!$AI$7:$AI$506,0)))</f>
        <v/>
      </c>
      <c r="Q141" s="34" t="n">
        <f aca="false">IF(L141&gt;$B$6,Q140,Q140+O141)</f>
        <v>22057.5</v>
      </c>
      <c r="R141" s="34" t="str">
        <f aca="false">IF(L141&gt;$B$6,"",Q141-MAX($Q$5:Q141))</f>
        <v/>
      </c>
    </row>
    <row r="142" customFormat="false" ht="15" hidden="false" customHeight="false" outlineLevel="0" collapsed="false">
      <c r="L142" s="0" t="n">
        <v>137</v>
      </c>
      <c r="M142" s="37" t="str">
        <f aca="false">IF(L142&gt;$B$6,"",INDEX(Example!$P$7:$P$506,MATCH(L142,Example!$AI$7:$AI$506,0)))</f>
        <v/>
      </c>
      <c r="N142" s="0" t="str">
        <f aca="false">IF(L142&gt;$B$6,"",INDEX(Example!$A$7:$A$506,MATCH(L142,Example!$AI$7:$AI$506,0)))</f>
        <v/>
      </c>
      <c r="O142" s="34" t="str">
        <f aca="false">IF(L142&gt;$B$6,"",INDEX(Example!$AC$7:$AC$506,MATCH(L142,Example!$AI$7:$AI$506,0)))</f>
        <v/>
      </c>
      <c r="P142" s="35" t="str">
        <f aca="false">IF(L142&gt;$B$6,"",INDEX(Example!$AD$7:$AD$506,MATCH(L142,Example!$AI$7:$AI$506,0)))</f>
        <v/>
      </c>
      <c r="Q142" s="34" t="n">
        <f aca="false">IF(L142&gt;$B$6,Q141,Q141+O142)</f>
        <v>22057.5</v>
      </c>
      <c r="R142" s="34" t="str">
        <f aca="false">IF(L142&gt;$B$6,"",Q142-MAX($Q$5:Q142))</f>
        <v/>
      </c>
    </row>
    <row r="143" customFormat="false" ht="15" hidden="false" customHeight="false" outlineLevel="0" collapsed="false">
      <c r="L143" s="0" t="n">
        <v>138</v>
      </c>
      <c r="M143" s="37" t="str">
        <f aca="false">IF(L143&gt;$B$6,"",INDEX(Example!$P$7:$P$506,MATCH(L143,Example!$AI$7:$AI$506,0)))</f>
        <v/>
      </c>
      <c r="N143" s="0" t="str">
        <f aca="false">IF(L143&gt;$B$6,"",INDEX(Example!$A$7:$A$506,MATCH(L143,Example!$AI$7:$AI$506,0)))</f>
        <v/>
      </c>
      <c r="O143" s="34" t="str">
        <f aca="false">IF(L143&gt;$B$6,"",INDEX(Example!$AC$7:$AC$506,MATCH(L143,Example!$AI$7:$AI$506,0)))</f>
        <v/>
      </c>
      <c r="P143" s="35" t="str">
        <f aca="false">IF(L143&gt;$B$6,"",INDEX(Example!$AD$7:$AD$506,MATCH(L143,Example!$AI$7:$AI$506,0)))</f>
        <v/>
      </c>
      <c r="Q143" s="34" t="n">
        <f aca="false">IF(L143&gt;$B$6,Q142,Q142+O143)</f>
        <v>22057.5</v>
      </c>
      <c r="R143" s="34" t="str">
        <f aca="false">IF(L143&gt;$B$6,"",Q143-MAX($Q$5:Q143))</f>
        <v/>
      </c>
    </row>
    <row r="144" customFormat="false" ht="15" hidden="false" customHeight="false" outlineLevel="0" collapsed="false">
      <c r="L144" s="0" t="n">
        <v>139</v>
      </c>
      <c r="M144" s="37" t="str">
        <f aca="false">IF(L144&gt;$B$6,"",INDEX(Example!$P$7:$P$506,MATCH(L144,Example!$AI$7:$AI$506,0)))</f>
        <v/>
      </c>
      <c r="N144" s="0" t="str">
        <f aca="false">IF(L144&gt;$B$6,"",INDEX(Example!$A$7:$A$506,MATCH(L144,Example!$AI$7:$AI$506,0)))</f>
        <v/>
      </c>
      <c r="O144" s="34" t="str">
        <f aca="false">IF(L144&gt;$B$6,"",INDEX(Example!$AC$7:$AC$506,MATCH(L144,Example!$AI$7:$AI$506,0)))</f>
        <v/>
      </c>
      <c r="P144" s="35" t="str">
        <f aca="false">IF(L144&gt;$B$6,"",INDEX(Example!$AD$7:$AD$506,MATCH(L144,Example!$AI$7:$AI$506,0)))</f>
        <v/>
      </c>
      <c r="Q144" s="34" t="n">
        <f aca="false">IF(L144&gt;$B$6,Q143,Q143+O144)</f>
        <v>22057.5</v>
      </c>
      <c r="R144" s="34" t="str">
        <f aca="false">IF(L144&gt;$B$6,"",Q144-MAX($Q$5:Q144))</f>
        <v/>
      </c>
    </row>
    <row r="145" customFormat="false" ht="15" hidden="false" customHeight="false" outlineLevel="0" collapsed="false">
      <c r="L145" s="0" t="n">
        <v>140</v>
      </c>
      <c r="M145" s="37" t="str">
        <f aca="false">IF(L145&gt;$B$6,"",INDEX(Example!$P$7:$P$506,MATCH(L145,Example!$AI$7:$AI$506,0)))</f>
        <v/>
      </c>
      <c r="N145" s="0" t="str">
        <f aca="false">IF(L145&gt;$B$6,"",INDEX(Example!$A$7:$A$506,MATCH(L145,Example!$AI$7:$AI$506,0)))</f>
        <v/>
      </c>
      <c r="O145" s="34" t="str">
        <f aca="false">IF(L145&gt;$B$6,"",INDEX(Example!$AC$7:$AC$506,MATCH(L145,Example!$AI$7:$AI$506,0)))</f>
        <v/>
      </c>
      <c r="P145" s="35" t="str">
        <f aca="false">IF(L145&gt;$B$6,"",INDEX(Example!$AD$7:$AD$506,MATCH(L145,Example!$AI$7:$AI$506,0)))</f>
        <v/>
      </c>
      <c r="Q145" s="34" t="n">
        <f aca="false">IF(L145&gt;$B$6,Q144,Q144+O145)</f>
        <v>22057.5</v>
      </c>
      <c r="R145" s="34" t="str">
        <f aca="false">IF(L145&gt;$B$6,"",Q145-MAX($Q$5:Q145))</f>
        <v/>
      </c>
    </row>
    <row r="146" customFormat="false" ht="15" hidden="false" customHeight="false" outlineLevel="0" collapsed="false">
      <c r="L146" s="0" t="n">
        <v>141</v>
      </c>
      <c r="M146" s="37" t="str">
        <f aca="false">IF(L146&gt;$B$6,"",INDEX(Example!$P$7:$P$506,MATCH(L146,Example!$AI$7:$AI$506,0)))</f>
        <v/>
      </c>
      <c r="N146" s="0" t="str">
        <f aca="false">IF(L146&gt;$B$6,"",INDEX(Example!$A$7:$A$506,MATCH(L146,Example!$AI$7:$AI$506,0)))</f>
        <v/>
      </c>
      <c r="O146" s="34" t="str">
        <f aca="false">IF(L146&gt;$B$6,"",INDEX(Example!$AC$7:$AC$506,MATCH(L146,Example!$AI$7:$AI$506,0)))</f>
        <v/>
      </c>
      <c r="P146" s="35" t="str">
        <f aca="false">IF(L146&gt;$B$6,"",INDEX(Example!$AD$7:$AD$506,MATCH(L146,Example!$AI$7:$AI$506,0)))</f>
        <v/>
      </c>
      <c r="Q146" s="34" t="n">
        <f aca="false">IF(L146&gt;$B$6,Q145,Q145+O146)</f>
        <v>22057.5</v>
      </c>
      <c r="R146" s="34" t="str">
        <f aca="false">IF(L146&gt;$B$6,"",Q146-MAX($Q$5:Q146))</f>
        <v/>
      </c>
    </row>
    <row r="147" customFormat="false" ht="15" hidden="false" customHeight="false" outlineLevel="0" collapsed="false">
      <c r="L147" s="0" t="n">
        <v>142</v>
      </c>
      <c r="M147" s="37" t="str">
        <f aca="false">IF(L147&gt;$B$6,"",INDEX(Example!$P$7:$P$506,MATCH(L147,Example!$AI$7:$AI$506,0)))</f>
        <v/>
      </c>
      <c r="N147" s="0" t="str">
        <f aca="false">IF(L147&gt;$B$6,"",INDEX(Example!$A$7:$A$506,MATCH(L147,Example!$AI$7:$AI$506,0)))</f>
        <v/>
      </c>
      <c r="O147" s="34" t="str">
        <f aca="false">IF(L147&gt;$B$6,"",INDEX(Example!$AC$7:$AC$506,MATCH(L147,Example!$AI$7:$AI$506,0)))</f>
        <v/>
      </c>
      <c r="P147" s="35" t="str">
        <f aca="false">IF(L147&gt;$B$6,"",INDEX(Example!$AD$7:$AD$506,MATCH(L147,Example!$AI$7:$AI$506,0)))</f>
        <v/>
      </c>
      <c r="Q147" s="34" t="n">
        <f aca="false">IF(L147&gt;$B$6,Q146,Q146+O147)</f>
        <v>22057.5</v>
      </c>
      <c r="R147" s="34" t="str">
        <f aca="false">IF(L147&gt;$B$6,"",Q147-MAX($Q$5:Q147))</f>
        <v/>
      </c>
    </row>
    <row r="148" customFormat="false" ht="15" hidden="false" customHeight="false" outlineLevel="0" collapsed="false">
      <c r="L148" s="0" t="n">
        <v>143</v>
      </c>
      <c r="M148" s="37" t="str">
        <f aca="false">IF(L148&gt;$B$6,"",INDEX(Example!$P$7:$P$506,MATCH(L148,Example!$AI$7:$AI$506,0)))</f>
        <v/>
      </c>
      <c r="N148" s="0" t="str">
        <f aca="false">IF(L148&gt;$B$6,"",INDEX(Example!$A$7:$A$506,MATCH(L148,Example!$AI$7:$AI$506,0)))</f>
        <v/>
      </c>
      <c r="O148" s="34" t="str">
        <f aca="false">IF(L148&gt;$B$6,"",INDEX(Example!$AC$7:$AC$506,MATCH(L148,Example!$AI$7:$AI$506,0)))</f>
        <v/>
      </c>
      <c r="P148" s="35" t="str">
        <f aca="false">IF(L148&gt;$B$6,"",INDEX(Example!$AD$7:$AD$506,MATCH(L148,Example!$AI$7:$AI$506,0)))</f>
        <v/>
      </c>
      <c r="Q148" s="34" t="n">
        <f aca="false">IF(L148&gt;$B$6,Q147,Q147+O148)</f>
        <v>22057.5</v>
      </c>
      <c r="R148" s="34" t="str">
        <f aca="false">IF(L148&gt;$B$6,"",Q148-MAX($Q$5:Q148))</f>
        <v/>
      </c>
    </row>
    <row r="149" customFormat="false" ht="15" hidden="false" customHeight="false" outlineLevel="0" collapsed="false">
      <c r="L149" s="0" t="n">
        <v>144</v>
      </c>
      <c r="M149" s="37" t="str">
        <f aca="false">IF(L149&gt;$B$6,"",INDEX(Example!$P$7:$P$506,MATCH(L149,Example!$AI$7:$AI$506,0)))</f>
        <v/>
      </c>
      <c r="N149" s="0" t="str">
        <f aca="false">IF(L149&gt;$B$6,"",INDEX(Example!$A$7:$A$506,MATCH(L149,Example!$AI$7:$AI$506,0)))</f>
        <v/>
      </c>
      <c r="O149" s="34" t="str">
        <f aca="false">IF(L149&gt;$B$6,"",INDEX(Example!$AC$7:$AC$506,MATCH(L149,Example!$AI$7:$AI$506,0)))</f>
        <v/>
      </c>
      <c r="P149" s="35" t="str">
        <f aca="false">IF(L149&gt;$B$6,"",INDEX(Example!$AD$7:$AD$506,MATCH(L149,Example!$AI$7:$AI$506,0)))</f>
        <v/>
      </c>
      <c r="Q149" s="34" t="n">
        <f aca="false">IF(L149&gt;$B$6,Q148,Q148+O149)</f>
        <v>22057.5</v>
      </c>
      <c r="R149" s="34" t="str">
        <f aca="false">IF(L149&gt;$B$6,"",Q149-MAX($Q$5:Q149))</f>
        <v/>
      </c>
    </row>
    <row r="150" customFormat="false" ht="15" hidden="false" customHeight="false" outlineLevel="0" collapsed="false">
      <c r="L150" s="0" t="n">
        <v>145</v>
      </c>
      <c r="M150" s="37" t="str">
        <f aca="false">IF(L150&gt;$B$6,"",INDEX(Example!$P$7:$P$506,MATCH(L150,Example!$AI$7:$AI$506,0)))</f>
        <v/>
      </c>
      <c r="N150" s="0" t="str">
        <f aca="false">IF(L150&gt;$B$6,"",INDEX(Example!$A$7:$A$506,MATCH(L150,Example!$AI$7:$AI$506,0)))</f>
        <v/>
      </c>
      <c r="O150" s="34" t="str">
        <f aca="false">IF(L150&gt;$B$6,"",INDEX(Example!$AC$7:$AC$506,MATCH(L150,Example!$AI$7:$AI$506,0)))</f>
        <v/>
      </c>
      <c r="P150" s="35" t="str">
        <f aca="false">IF(L150&gt;$B$6,"",INDEX(Example!$AD$7:$AD$506,MATCH(L150,Example!$AI$7:$AI$506,0)))</f>
        <v/>
      </c>
      <c r="Q150" s="34" t="n">
        <f aca="false">IF(L150&gt;$B$6,Q149,Q149+O150)</f>
        <v>22057.5</v>
      </c>
      <c r="R150" s="34" t="str">
        <f aca="false">IF(L150&gt;$B$6,"",Q150-MAX($Q$5:Q150))</f>
        <v/>
      </c>
    </row>
    <row r="151" customFormat="false" ht="15" hidden="false" customHeight="false" outlineLevel="0" collapsed="false">
      <c r="L151" s="0" t="n">
        <v>146</v>
      </c>
      <c r="M151" s="37" t="str">
        <f aca="false">IF(L151&gt;$B$6,"",INDEX(Example!$P$7:$P$506,MATCH(L151,Example!$AI$7:$AI$506,0)))</f>
        <v/>
      </c>
      <c r="N151" s="0" t="str">
        <f aca="false">IF(L151&gt;$B$6,"",INDEX(Example!$A$7:$A$506,MATCH(L151,Example!$AI$7:$AI$506,0)))</f>
        <v/>
      </c>
      <c r="O151" s="34" t="str">
        <f aca="false">IF(L151&gt;$B$6,"",INDEX(Example!$AC$7:$AC$506,MATCH(L151,Example!$AI$7:$AI$506,0)))</f>
        <v/>
      </c>
      <c r="P151" s="35" t="str">
        <f aca="false">IF(L151&gt;$B$6,"",INDEX(Example!$AD$7:$AD$506,MATCH(L151,Example!$AI$7:$AI$506,0)))</f>
        <v/>
      </c>
      <c r="Q151" s="34" t="n">
        <f aca="false">IF(L151&gt;$B$6,Q150,Q150+O151)</f>
        <v>22057.5</v>
      </c>
      <c r="R151" s="34" t="str">
        <f aca="false">IF(L151&gt;$B$6,"",Q151-MAX($Q$5:Q151))</f>
        <v/>
      </c>
    </row>
    <row r="152" customFormat="false" ht="15" hidden="false" customHeight="false" outlineLevel="0" collapsed="false">
      <c r="L152" s="0" t="n">
        <v>147</v>
      </c>
      <c r="M152" s="37" t="str">
        <f aca="false">IF(L152&gt;$B$6,"",INDEX(Example!$P$7:$P$506,MATCH(L152,Example!$AI$7:$AI$506,0)))</f>
        <v/>
      </c>
      <c r="N152" s="0" t="str">
        <f aca="false">IF(L152&gt;$B$6,"",INDEX(Example!$A$7:$A$506,MATCH(L152,Example!$AI$7:$AI$506,0)))</f>
        <v/>
      </c>
      <c r="O152" s="34" t="str">
        <f aca="false">IF(L152&gt;$B$6,"",INDEX(Example!$AC$7:$AC$506,MATCH(L152,Example!$AI$7:$AI$506,0)))</f>
        <v/>
      </c>
      <c r="P152" s="35" t="str">
        <f aca="false">IF(L152&gt;$B$6,"",INDEX(Example!$AD$7:$AD$506,MATCH(L152,Example!$AI$7:$AI$506,0)))</f>
        <v/>
      </c>
      <c r="Q152" s="34" t="n">
        <f aca="false">IF(L152&gt;$B$6,Q151,Q151+O152)</f>
        <v>22057.5</v>
      </c>
      <c r="R152" s="34" t="str">
        <f aca="false">IF(L152&gt;$B$6,"",Q152-MAX($Q$5:Q152))</f>
        <v/>
      </c>
    </row>
    <row r="153" customFormat="false" ht="15" hidden="false" customHeight="false" outlineLevel="0" collapsed="false">
      <c r="L153" s="0" t="n">
        <v>148</v>
      </c>
      <c r="M153" s="37" t="str">
        <f aca="false">IF(L153&gt;$B$6,"",INDEX(Example!$P$7:$P$506,MATCH(L153,Example!$AI$7:$AI$506,0)))</f>
        <v/>
      </c>
      <c r="N153" s="0" t="str">
        <f aca="false">IF(L153&gt;$B$6,"",INDEX(Example!$A$7:$A$506,MATCH(L153,Example!$AI$7:$AI$506,0)))</f>
        <v/>
      </c>
      <c r="O153" s="34" t="str">
        <f aca="false">IF(L153&gt;$B$6,"",INDEX(Example!$AC$7:$AC$506,MATCH(L153,Example!$AI$7:$AI$506,0)))</f>
        <v/>
      </c>
      <c r="P153" s="35" t="str">
        <f aca="false">IF(L153&gt;$B$6,"",INDEX(Example!$AD$7:$AD$506,MATCH(L153,Example!$AI$7:$AI$506,0)))</f>
        <v/>
      </c>
      <c r="Q153" s="34" t="n">
        <f aca="false">IF(L153&gt;$B$6,Q152,Q152+O153)</f>
        <v>22057.5</v>
      </c>
      <c r="R153" s="34" t="str">
        <f aca="false">IF(L153&gt;$B$6,"",Q153-MAX($Q$5:Q153))</f>
        <v/>
      </c>
    </row>
    <row r="154" customFormat="false" ht="15" hidden="false" customHeight="false" outlineLevel="0" collapsed="false">
      <c r="L154" s="0" t="n">
        <v>149</v>
      </c>
      <c r="M154" s="37" t="str">
        <f aca="false">IF(L154&gt;$B$6,"",INDEX(Example!$P$7:$P$506,MATCH(L154,Example!$AI$7:$AI$506,0)))</f>
        <v/>
      </c>
      <c r="N154" s="0" t="str">
        <f aca="false">IF(L154&gt;$B$6,"",INDEX(Example!$A$7:$A$506,MATCH(L154,Example!$AI$7:$AI$506,0)))</f>
        <v/>
      </c>
      <c r="O154" s="34" t="str">
        <f aca="false">IF(L154&gt;$B$6,"",INDEX(Example!$AC$7:$AC$506,MATCH(L154,Example!$AI$7:$AI$506,0)))</f>
        <v/>
      </c>
      <c r="P154" s="35" t="str">
        <f aca="false">IF(L154&gt;$B$6,"",INDEX(Example!$AD$7:$AD$506,MATCH(L154,Example!$AI$7:$AI$506,0)))</f>
        <v/>
      </c>
      <c r="Q154" s="34" t="n">
        <f aca="false">IF(L154&gt;$B$6,Q153,Q153+O154)</f>
        <v>22057.5</v>
      </c>
      <c r="R154" s="34" t="str">
        <f aca="false">IF(L154&gt;$B$6,"",Q154-MAX($Q$5:Q154))</f>
        <v/>
      </c>
    </row>
    <row r="155" customFormat="false" ht="15" hidden="false" customHeight="false" outlineLevel="0" collapsed="false">
      <c r="L155" s="0" t="n">
        <v>150</v>
      </c>
      <c r="M155" s="37" t="str">
        <f aca="false">IF(L155&gt;$B$6,"",INDEX(Example!$P$7:$P$506,MATCH(L155,Example!$AI$7:$AI$506,0)))</f>
        <v/>
      </c>
      <c r="N155" s="0" t="str">
        <f aca="false">IF(L155&gt;$B$6,"",INDEX(Example!$A$7:$A$506,MATCH(L155,Example!$AI$7:$AI$506,0)))</f>
        <v/>
      </c>
      <c r="O155" s="34" t="str">
        <f aca="false">IF(L155&gt;$B$6,"",INDEX(Example!$AC$7:$AC$506,MATCH(L155,Example!$AI$7:$AI$506,0)))</f>
        <v/>
      </c>
      <c r="P155" s="35" t="str">
        <f aca="false">IF(L155&gt;$B$6,"",INDEX(Example!$AD$7:$AD$506,MATCH(L155,Example!$AI$7:$AI$506,0)))</f>
        <v/>
      </c>
      <c r="Q155" s="34" t="n">
        <f aca="false">IF(L155&gt;$B$6,Q154,Q154+O155)</f>
        <v>22057.5</v>
      </c>
      <c r="R155" s="34" t="str">
        <f aca="false">IF(L155&gt;$B$6,"",Q155-MAX($Q$5:Q155))</f>
        <v/>
      </c>
    </row>
    <row r="156" customFormat="false" ht="15" hidden="false" customHeight="false" outlineLevel="0" collapsed="false">
      <c r="L156" s="0" t="n">
        <v>151</v>
      </c>
      <c r="M156" s="37" t="str">
        <f aca="false">IF(L156&gt;$B$6,"",INDEX(Example!$P$7:$P$506,MATCH(L156,Example!$AI$7:$AI$506,0)))</f>
        <v/>
      </c>
      <c r="N156" s="0" t="str">
        <f aca="false">IF(L156&gt;$B$6,"",INDEX(Example!$A$7:$A$506,MATCH(L156,Example!$AI$7:$AI$506,0)))</f>
        <v/>
      </c>
      <c r="O156" s="34" t="str">
        <f aca="false">IF(L156&gt;$B$6,"",INDEX(Example!$AC$7:$AC$506,MATCH(L156,Example!$AI$7:$AI$506,0)))</f>
        <v/>
      </c>
      <c r="P156" s="35" t="str">
        <f aca="false">IF(L156&gt;$B$6,"",INDEX(Example!$AD$7:$AD$506,MATCH(L156,Example!$AI$7:$AI$506,0)))</f>
        <v/>
      </c>
      <c r="Q156" s="34" t="n">
        <f aca="false">IF(L156&gt;$B$6,Q155,Q155+O156)</f>
        <v>22057.5</v>
      </c>
      <c r="R156" s="34" t="str">
        <f aca="false">IF(L156&gt;$B$6,"",Q156-MAX($Q$5:Q156))</f>
        <v/>
      </c>
    </row>
    <row r="157" customFormat="false" ht="15" hidden="false" customHeight="false" outlineLevel="0" collapsed="false">
      <c r="L157" s="0" t="n">
        <v>152</v>
      </c>
      <c r="M157" s="37" t="str">
        <f aca="false">IF(L157&gt;$B$6,"",INDEX(Example!$P$7:$P$506,MATCH(L157,Example!$AI$7:$AI$506,0)))</f>
        <v/>
      </c>
      <c r="N157" s="0" t="str">
        <f aca="false">IF(L157&gt;$B$6,"",INDEX(Example!$A$7:$A$506,MATCH(L157,Example!$AI$7:$AI$506,0)))</f>
        <v/>
      </c>
      <c r="O157" s="34" t="str">
        <f aca="false">IF(L157&gt;$B$6,"",INDEX(Example!$AC$7:$AC$506,MATCH(L157,Example!$AI$7:$AI$506,0)))</f>
        <v/>
      </c>
      <c r="P157" s="35" t="str">
        <f aca="false">IF(L157&gt;$B$6,"",INDEX(Example!$AD$7:$AD$506,MATCH(L157,Example!$AI$7:$AI$506,0)))</f>
        <v/>
      </c>
      <c r="Q157" s="34" t="n">
        <f aca="false">IF(L157&gt;$B$6,Q156,Q156+O157)</f>
        <v>22057.5</v>
      </c>
      <c r="R157" s="34" t="str">
        <f aca="false">IF(L157&gt;$B$6,"",Q157-MAX($Q$5:Q157))</f>
        <v/>
      </c>
    </row>
    <row r="158" customFormat="false" ht="15" hidden="false" customHeight="false" outlineLevel="0" collapsed="false">
      <c r="L158" s="0" t="n">
        <v>153</v>
      </c>
      <c r="M158" s="37" t="str">
        <f aca="false">IF(L158&gt;$B$6,"",INDEX(Example!$P$7:$P$506,MATCH(L158,Example!$AI$7:$AI$506,0)))</f>
        <v/>
      </c>
      <c r="N158" s="0" t="str">
        <f aca="false">IF(L158&gt;$B$6,"",INDEX(Example!$A$7:$A$506,MATCH(L158,Example!$AI$7:$AI$506,0)))</f>
        <v/>
      </c>
      <c r="O158" s="34" t="str">
        <f aca="false">IF(L158&gt;$B$6,"",INDEX(Example!$AC$7:$AC$506,MATCH(L158,Example!$AI$7:$AI$506,0)))</f>
        <v/>
      </c>
      <c r="P158" s="35" t="str">
        <f aca="false">IF(L158&gt;$B$6,"",INDEX(Example!$AD$7:$AD$506,MATCH(L158,Example!$AI$7:$AI$506,0)))</f>
        <v/>
      </c>
      <c r="Q158" s="34" t="n">
        <f aca="false">IF(L158&gt;$B$6,Q157,Q157+O158)</f>
        <v>22057.5</v>
      </c>
      <c r="R158" s="34" t="str">
        <f aca="false">IF(L158&gt;$B$6,"",Q158-MAX($Q$5:Q158))</f>
        <v/>
      </c>
    </row>
    <row r="159" customFormat="false" ht="15" hidden="false" customHeight="false" outlineLevel="0" collapsed="false">
      <c r="L159" s="0" t="n">
        <v>154</v>
      </c>
      <c r="M159" s="37" t="str">
        <f aca="false">IF(L159&gt;$B$6,"",INDEX(Example!$P$7:$P$506,MATCH(L159,Example!$AI$7:$AI$506,0)))</f>
        <v/>
      </c>
      <c r="N159" s="0" t="str">
        <f aca="false">IF(L159&gt;$B$6,"",INDEX(Example!$A$7:$A$506,MATCH(L159,Example!$AI$7:$AI$506,0)))</f>
        <v/>
      </c>
      <c r="O159" s="34" t="str">
        <f aca="false">IF(L159&gt;$B$6,"",INDEX(Example!$AC$7:$AC$506,MATCH(L159,Example!$AI$7:$AI$506,0)))</f>
        <v/>
      </c>
      <c r="P159" s="35" t="str">
        <f aca="false">IF(L159&gt;$B$6,"",INDEX(Example!$AD$7:$AD$506,MATCH(L159,Example!$AI$7:$AI$506,0)))</f>
        <v/>
      </c>
      <c r="Q159" s="34" t="n">
        <f aca="false">IF(L159&gt;$B$6,Q158,Q158+O159)</f>
        <v>22057.5</v>
      </c>
      <c r="R159" s="34" t="str">
        <f aca="false">IF(L159&gt;$B$6,"",Q159-MAX($Q$5:Q159))</f>
        <v/>
      </c>
    </row>
    <row r="160" customFormat="false" ht="15" hidden="false" customHeight="false" outlineLevel="0" collapsed="false">
      <c r="L160" s="0" t="n">
        <v>155</v>
      </c>
      <c r="M160" s="37" t="str">
        <f aca="false">IF(L160&gt;$B$6,"",INDEX(Example!$P$7:$P$506,MATCH(L160,Example!$AI$7:$AI$506,0)))</f>
        <v/>
      </c>
      <c r="N160" s="0" t="str">
        <f aca="false">IF(L160&gt;$B$6,"",INDEX(Example!$A$7:$A$506,MATCH(L160,Example!$AI$7:$AI$506,0)))</f>
        <v/>
      </c>
      <c r="O160" s="34" t="str">
        <f aca="false">IF(L160&gt;$B$6,"",INDEX(Example!$AC$7:$AC$506,MATCH(L160,Example!$AI$7:$AI$506,0)))</f>
        <v/>
      </c>
      <c r="P160" s="35" t="str">
        <f aca="false">IF(L160&gt;$B$6,"",INDEX(Example!$AD$7:$AD$506,MATCH(L160,Example!$AI$7:$AI$506,0)))</f>
        <v/>
      </c>
      <c r="Q160" s="34" t="n">
        <f aca="false">IF(L160&gt;$B$6,Q159,Q159+O160)</f>
        <v>22057.5</v>
      </c>
      <c r="R160" s="34" t="str">
        <f aca="false">IF(L160&gt;$B$6,"",Q160-MAX($Q$5:Q160))</f>
        <v/>
      </c>
    </row>
    <row r="161" customFormat="false" ht="15" hidden="false" customHeight="false" outlineLevel="0" collapsed="false">
      <c r="L161" s="0" t="n">
        <v>156</v>
      </c>
      <c r="M161" s="37" t="str">
        <f aca="false">IF(L161&gt;$B$6,"",INDEX(Example!$P$7:$P$506,MATCH(L161,Example!$AI$7:$AI$506,0)))</f>
        <v/>
      </c>
      <c r="N161" s="0" t="str">
        <f aca="false">IF(L161&gt;$B$6,"",INDEX(Example!$A$7:$A$506,MATCH(L161,Example!$AI$7:$AI$506,0)))</f>
        <v/>
      </c>
      <c r="O161" s="34" t="str">
        <f aca="false">IF(L161&gt;$B$6,"",INDEX(Example!$AC$7:$AC$506,MATCH(L161,Example!$AI$7:$AI$506,0)))</f>
        <v/>
      </c>
      <c r="P161" s="35" t="str">
        <f aca="false">IF(L161&gt;$B$6,"",INDEX(Example!$AD$7:$AD$506,MATCH(L161,Example!$AI$7:$AI$506,0)))</f>
        <v/>
      </c>
      <c r="Q161" s="34" t="n">
        <f aca="false">IF(L161&gt;$B$6,Q160,Q160+O161)</f>
        <v>22057.5</v>
      </c>
      <c r="R161" s="34" t="str">
        <f aca="false">IF(L161&gt;$B$6,"",Q161-MAX($Q$5:Q161))</f>
        <v/>
      </c>
    </row>
    <row r="162" customFormat="false" ht="15" hidden="false" customHeight="false" outlineLevel="0" collapsed="false">
      <c r="L162" s="0" t="n">
        <v>157</v>
      </c>
      <c r="M162" s="37" t="str">
        <f aca="false">IF(L162&gt;$B$6,"",INDEX(Example!$P$7:$P$506,MATCH(L162,Example!$AI$7:$AI$506,0)))</f>
        <v/>
      </c>
      <c r="N162" s="0" t="str">
        <f aca="false">IF(L162&gt;$B$6,"",INDEX(Example!$A$7:$A$506,MATCH(L162,Example!$AI$7:$AI$506,0)))</f>
        <v/>
      </c>
      <c r="O162" s="34" t="str">
        <f aca="false">IF(L162&gt;$B$6,"",INDEX(Example!$AC$7:$AC$506,MATCH(L162,Example!$AI$7:$AI$506,0)))</f>
        <v/>
      </c>
      <c r="P162" s="35" t="str">
        <f aca="false">IF(L162&gt;$B$6,"",INDEX(Example!$AD$7:$AD$506,MATCH(L162,Example!$AI$7:$AI$506,0)))</f>
        <v/>
      </c>
      <c r="Q162" s="34" t="n">
        <f aca="false">IF(L162&gt;$B$6,Q161,Q161+O162)</f>
        <v>22057.5</v>
      </c>
      <c r="R162" s="34" t="str">
        <f aca="false">IF(L162&gt;$B$6,"",Q162-MAX($Q$5:Q162))</f>
        <v/>
      </c>
    </row>
    <row r="163" customFormat="false" ht="15" hidden="false" customHeight="false" outlineLevel="0" collapsed="false">
      <c r="L163" s="0" t="n">
        <v>158</v>
      </c>
      <c r="M163" s="37" t="str">
        <f aca="false">IF(L163&gt;$B$6,"",INDEX(Example!$P$7:$P$506,MATCH(L163,Example!$AI$7:$AI$506,0)))</f>
        <v/>
      </c>
      <c r="N163" s="0" t="str">
        <f aca="false">IF(L163&gt;$B$6,"",INDEX(Example!$A$7:$A$506,MATCH(L163,Example!$AI$7:$AI$506,0)))</f>
        <v/>
      </c>
      <c r="O163" s="34" t="str">
        <f aca="false">IF(L163&gt;$B$6,"",INDEX(Example!$AC$7:$AC$506,MATCH(L163,Example!$AI$7:$AI$506,0)))</f>
        <v/>
      </c>
      <c r="P163" s="35" t="str">
        <f aca="false">IF(L163&gt;$B$6,"",INDEX(Example!$AD$7:$AD$506,MATCH(L163,Example!$AI$7:$AI$506,0)))</f>
        <v/>
      </c>
      <c r="Q163" s="34" t="n">
        <f aca="false">IF(L163&gt;$B$6,Q162,Q162+O163)</f>
        <v>22057.5</v>
      </c>
      <c r="R163" s="34" t="str">
        <f aca="false">IF(L163&gt;$B$6,"",Q163-MAX($Q$5:Q163))</f>
        <v/>
      </c>
    </row>
    <row r="164" customFormat="false" ht="15" hidden="false" customHeight="false" outlineLevel="0" collapsed="false">
      <c r="L164" s="0" t="n">
        <v>159</v>
      </c>
      <c r="M164" s="37" t="str">
        <f aca="false">IF(L164&gt;$B$6,"",INDEX(Example!$P$7:$P$506,MATCH(L164,Example!$AI$7:$AI$506,0)))</f>
        <v/>
      </c>
      <c r="N164" s="0" t="str">
        <f aca="false">IF(L164&gt;$B$6,"",INDEX(Example!$A$7:$A$506,MATCH(L164,Example!$AI$7:$AI$506,0)))</f>
        <v/>
      </c>
      <c r="O164" s="34" t="str">
        <f aca="false">IF(L164&gt;$B$6,"",INDEX(Example!$AC$7:$AC$506,MATCH(L164,Example!$AI$7:$AI$506,0)))</f>
        <v/>
      </c>
      <c r="P164" s="35" t="str">
        <f aca="false">IF(L164&gt;$B$6,"",INDEX(Example!$AD$7:$AD$506,MATCH(L164,Example!$AI$7:$AI$506,0)))</f>
        <v/>
      </c>
      <c r="Q164" s="34" t="n">
        <f aca="false">IF(L164&gt;$B$6,Q163,Q163+O164)</f>
        <v>22057.5</v>
      </c>
      <c r="R164" s="34" t="str">
        <f aca="false">IF(L164&gt;$B$6,"",Q164-MAX($Q$5:Q164))</f>
        <v/>
      </c>
    </row>
    <row r="165" customFormat="false" ht="15" hidden="false" customHeight="false" outlineLevel="0" collapsed="false">
      <c r="L165" s="0" t="n">
        <v>160</v>
      </c>
      <c r="M165" s="37" t="str">
        <f aca="false">IF(L165&gt;$B$6,"",INDEX(Example!$P$7:$P$506,MATCH(L165,Example!$AI$7:$AI$506,0)))</f>
        <v/>
      </c>
      <c r="N165" s="0" t="str">
        <f aca="false">IF(L165&gt;$B$6,"",INDEX(Example!$A$7:$A$506,MATCH(L165,Example!$AI$7:$AI$506,0)))</f>
        <v/>
      </c>
      <c r="O165" s="34" t="str">
        <f aca="false">IF(L165&gt;$B$6,"",INDEX(Example!$AC$7:$AC$506,MATCH(L165,Example!$AI$7:$AI$506,0)))</f>
        <v/>
      </c>
      <c r="P165" s="35" t="str">
        <f aca="false">IF(L165&gt;$B$6,"",INDEX(Example!$AD$7:$AD$506,MATCH(L165,Example!$AI$7:$AI$506,0)))</f>
        <v/>
      </c>
      <c r="Q165" s="34" t="n">
        <f aca="false">IF(L165&gt;$B$6,Q164,Q164+O165)</f>
        <v>22057.5</v>
      </c>
      <c r="R165" s="34" t="str">
        <f aca="false">IF(L165&gt;$B$6,"",Q165-MAX($Q$5:Q165))</f>
        <v/>
      </c>
    </row>
    <row r="166" customFormat="false" ht="15" hidden="false" customHeight="false" outlineLevel="0" collapsed="false">
      <c r="L166" s="0" t="n">
        <v>161</v>
      </c>
      <c r="M166" s="37" t="str">
        <f aca="false">IF(L166&gt;$B$6,"",INDEX(Example!$P$7:$P$506,MATCH(L166,Example!$AI$7:$AI$506,0)))</f>
        <v/>
      </c>
      <c r="N166" s="0" t="str">
        <f aca="false">IF(L166&gt;$B$6,"",INDEX(Example!$A$7:$A$506,MATCH(L166,Example!$AI$7:$AI$506,0)))</f>
        <v/>
      </c>
      <c r="O166" s="34" t="str">
        <f aca="false">IF(L166&gt;$B$6,"",INDEX(Example!$AC$7:$AC$506,MATCH(L166,Example!$AI$7:$AI$506,0)))</f>
        <v/>
      </c>
      <c r="P166" s="35" t="str">
        <f aca="false">IF(L166&gt;$B$6,"",INDEX(Example!$AD$7:$AD$506,MATCH(L166,Example!$AI$7:$AI$506,0)))</f>
        <v/>
      </c>
      <c r="Q166" s="34" t="n">
        <f aca="false">IF(L166&gt;$B$6,Q165,Q165+O166)</f>
        <v>22057.5</v>
      </c>
      <c r="R166" s="34" t="str">
        <f aca="false">IF(L166&gt;$B$6,"",Q166-MAX($Q$5:Q166))</f>
        <v/>
      </c>
    </row>
    <row r="167" customFormat="false" ht="15" hidden="false" customHeight="false" outlineLevel="0" collapsed="false">
      <c r="L167" s="0" t="n">
        <v>162</v>
      </c>
      <c r="M167" s="37" t="str">
        <f aca="false">IF(L167&gt;$B$6,"",INDEX(Example!$P$7:$P$506,MATCH(L167,Example!$AI$7:$AI$506,0)))</f>
        <v/>
      </c>
      <c r="N167" s="0" t="str">
        <f aca="false">IF(L167&gt;$B$6,"",INDEX(Example!$A$7:$A$506,MATCH(L167,Example!$AI$7:$AI$506,0)))</f>
        <v/>
      </c>
      <c r="O167" s="34" t="str">
        <f aca="false">IF(L167&gt;$B$6,"",INDEX(Example!$AC$7:$AC$506,MATCH(L167,Example!$AI$7:$AI$506,0)))</f>
        <v/>
      </c>
      <c r="P167" s="35" t="str">
        <f aca="false">IF(L167&gt;$B$6,"",INDEX(Example!$AD$7:$AD$506,MATCH(L167,Example!$AI$7:$AI$506,0)))</f>
        <v/>
      </c>
      <c r="Q167" s="34" t="n">
        <f aca="false">IF(L167&gt;$B$6,Q166,Q166+O167)</f>
        <v>22057.5</v>
      </c>
      <c r="R167" s="34" t="str">
        <f aca="false">IF(L167&gt;$B$6,"",Q167-MAX($Q$5:Q167))</f>
        <v/>
      </c>
    </row>
    <row r="168" customFormat="false" ht="15" hidden="false" customHeight="false" outlineLevel="0" collapsed="false">
      <c r="L168" s="0" t="n">
        <v>163</v>
      </c>
      <c r="M168" s="37" t="str">
        <f aca="false">IF(L168&gt;$B$6,"",INDEX(Example!$P$7:$P$506,MATCH(L168,Example!$AI$7:$AI$506,0)))</f>
        <v/>
      </c>
      <c r="N168" s="0" t="str">
        <f aca="false">IF(L168&gt;$B$6,"",INDEX(Example!$A$7:$A$506,MATCH(L168,Example!$AI$7:$AI$506,0)))</f>
        <v/>
      </c>
      <c r="O168" s="34" t="str">
        <f aca="false">IF(L168&gt;$B$6,"",INDEX(Example!$AC$7:$AC$506,MATCH(L168,Example!$AI$7:$AI$506,0)))</f>
        <v/>
      </c>
      <c r="P168" s="35" t="str">
        <f aca="false">IF(L168&gt;$B$6,"",INDEX(Example!$AD$7:$AD$506,MATCH(L168,Example!$AI$7:$AI$506,0)))</f>
        <v/>
      </c>
      <c r="Q168" s="34" t="n">
        <f aca="false">IF(L168&gt;$B$6,Q167,Q167+O168)</f>
        <v>22057.5</v>
      </c>
      <c r="R168" s="34" t="str">
        <f aca="false">IF(L168&gt;$B$6,"",Q168-MAX($Q$5:Q168))</f>
        <v/>
      </c>
    </row>
    <row r="169" customFormat="false" ht="15" hidden="false" customHeight="false" outlineLevel="0" collapsed="false">
      <c r="L169" s="0" t="n">
        <v>164</v>
      </c>
      <c r="M169" s="37" t="str">
        <f aca="false">IF(L169&gt;$B$6,"",INDEX(Example!$P$7:$P$506,MATCH(L169,Example!$AI$7:$AI$506,0)))</f>
        <v/>
      </c>
      <c r="N169" s="0" t="str">
        <f aca="false">IF(L169&gt;$B$6,"",INDEX(Example!$A$7:$A$506,MATCH(L169,Example!$AI$7:$AI$506,0)))</f>
        <v/>
      </c>
      <c r="O169" s="34" t="str">
        <f aca="false">IF(L169&gt;$B$6,"",INDEX(Example!$AC$7:$AC$506,MATCH(L169,Example!$AI$7:$AI$506,0)))</f>
        <v/>
      </c>
      <c r="P169" s="35" t="str">
        <f aca="false">IF(L169&gt;$B$6,"",INDEX(Example!$AD$7:$AD$506,MATCH(L169,Example!$AI$7:$AI$506,0)))</f>
        <v/>
      </c>
      <c r="Q169" s="34" t="n">
        <f aca="false">IF(L169&gt;$B$6,Q168,Q168+O169)</f>
        <v>22057.5</v>
      </c>
      <c r="R169" s="34" t="str">
        <f aca="false">IF(L169&gt;$B$6,"",Q169-MAX($Q$5:Q169))</f>
        <v/>
      </c>
    </row>
    <row r="170" customFormat="false" ht="15" hidden="false" customHeight="false" outlineLevel="0" collapsed="false">
      <c r="L170" s="0" t="n">
        <v>165</v>
      </c>
      <c r="M170" s="37" t="str">
        <f aca="false">IF(L170&gt;$B$6,"",INDEX(Example!$P$7:$P$506,MATCH(L170,Example!$AI$7:$AI$506,0)))</f>
        <v/>
      </c>
      <c r="N170" s="0" t="str">
        <f aca="false">IF(L170&gt;$B$6,"",INDEX(Example!$A$7:$A$506,MATCH(L170,Example!$AI$7:$AI$506,0)))</f>
        <v/>
      </c>
      <c r="O170" s="34" t="str">
        <f aca="false">IF(L170&gt;$B$6,"",INDEX(Example!$AC$7:$AC$506,MATCH(L170,Example!$AI$7:$AI$506,0)))</f>
        <v/>
      </c>
      <c r="P170" s="35" t="str">
        <f aca="false">IF(L170&gt;$B$6,"",INDEX(Example!$AD$7:$AD$506,MATCH(L170,Example!$AI$7:$AI$506,0)))</f>
        <v/>
      </c>
      <c r="Q170" s="34" t="n">
        <f aca="false">IF(L170&gt;$B$6,Q169,Q169+O170)</f>
        <v>22057.5</v>
      </c>
      <c r="R170" s="34" t="str">
        <f aca="false">IF(L170&gt;$B$6,"",Q170-MAX($Q$5:Q170))</f>
        <v/>
      </c>
    </row>
    <row r="171" customFormat="false" ht="15" hidden="false" customHeight="false" outlineLevel="0" collapsed="false">
      <c r="L171" s="0" t="n">
        <v>166</v>
      </c>
      <c r="M171" s="37" t="str">
        <f aca="false">IF(L171&gt;$B$6,"",INDEX(Example!$P$7:$P$506,MATCH(L171,Example!$AI$7:$AI$506,0)))</f>
        <v/>
      </c>
      <c r="N171" s="0" t="str">
        <f aca="false">IF(L171&gt;$B$6,"",INDEX(Example!$A$7:$A$506,MATCH(L171,Example!$AI$7:$AI$506,0)))</f>
        <v/>
      </c>
      <c r="O171" s="34" t="str">
        <f aca="false">IF(L171&gt;$B$6,"",INDEX(Example!$AC$7:$AC$506,MATCH(L171,Example!$AI$7:$AI$506,0)))</f>
        <v/>
      </c>
      <c r="P171" s="35" t="str">
        <f aca="false">IF(L171&gt;$B$6,"",INDEX(Example!$AD$7:$AD$506,MATCH(L171,Example!$AI$7:$AI$506,0)))</f>
        <v/>
      </c>
      <c r="Q171" s="34" t="n">
        <f aca="false">IF(L171&gt;$B$6,Q170,Q170+O171)</f>
        <v>22057.5</v>
      </c>
      <c r="R171" s="34" t="str">
        <f aca="false">IF(L171&gt;$B$6,"",Q171-MAX($Q$5:Q171))</f>
        <v/>
      </c>
    </row>
    <row r="172" customFormat="false" ht="15" hidden="false" customHeight="false" outlineLevel="0" collapsed="false">
      <c r="L172" s="0" t="n">
        <v>167</v>
      </c>
      <c r="M172" s="37" t="str">
        <f aca="false">IF(L172&gt;$B$6,"",INDEX(Example!$P$7:$P$506,MATCH(L172,Example!$AI$7:$AI$506,0)))</f>
        <v/>
      </c>
      <c r="N172" s="0" t="str">
        <f aca="false">IF(L172&gt;$B$6,"",INDEX(Example!$A$7:$A$506,MATCH(L172,Example!$AI$7:$AI$506,0)))</f>
        <v/>
      </c>
      <c r="O172" s="34" t="str">
        <f aca="false">IF(L172&gt;$B$6,"",INDEX(Example!$AC$7:$AC$506,MATCH(L172,Example!$AI$7:$AI$506,0)))</f>
        <v/>
      </c>
      <c r="P172" s="35" t="str">
        <f aca="false">IF(L172&gt;$B$6,"",INDEX(Example!$AD$7:$AD$506,MATCH(L172,Example!$AI$7:$AI$506,0)))</f>
        <v/>
      </c>
      <c r="Q172" s="34" t="n">
        <f aca="false">IF(L172&gt;$B$6,Q171,Q171+O172)</f>
        <v>22057.5</v>
      </c>
      <c r="R172" s="34" t="str">
        <f aca="false">IF(L172&gt;$B$6,"",Q172-MAX($Q$5:Q172))</f>
        <v/>
      </c>
    </row>
    <row r="173" customFormat="false" ht="15" hidden="false" customHeight="false" outlineLevel="0" collapsed="false">
      <c r="L173" s="0" t="n">
        <v>168</v>
      </c>
      <c r="M173" s="37" t="str">
        <f aca="false">IF(L173&gt;$B$6,"",INDEX(Example!$P$7:$P$506,MATCH(L173,Example!$AI$7:$AI$506,0)))</f>
        <v/>
      </c>
      <c r="N173" s="0" t="str">
        <f aca="false">IF(L173&gt;$B$6,"",INDEX(Example!$A$7:$A$506,MATCH(L173,Example!$AI$7:$AI$506,0)))</f>
        <v/>
      </c>
      <c r="O173" s="34" t="str">
        <f aca="false">IF(L173&gt;$B$6,"",INDEX(Example!$AC$7:$AC$506,MATCH(L173,Example!$AI$7:$AI$506,0)))</f>
        <v/>
      </c>
      <c r="P173" s="35" t="str">
        <f aca="false">IF(L173&gt;$B$6,"",INDEX(Example!$AD$7:$AD$506,MATCH(L173,Example!$AI$7:$AI$506,0)))</f>
        <v/>
      </c>
      <c r="Q173" s="34" t="n">
        <f aca="false">IF(L173&gt;$B$6,Q172,Q172+O173)</f>
        <v>22057.5</v>
      </c>
      <c r="R173" s="34" t="str">
        <f aca="false">IF(L173&gt;$B$6,"",Q173-MAX($Q$5:Q173))</f>
        <v/>
      </c>
    </row>
    <row r="174" customFormat="false" ht="15" hidden="false" customHeight="false" outlineLevel="0" collapsed="false">
      <c r="L174" s="0" t="n">
        <v>169</v>
      </c>
      <c r="M174" s="37" t="str">
        <f aca="false">IF(L174&gt;$B$6,"",INDEX(Example!$P$7:$P$506,MATCH(L174,Example!$AI$7:$AI$506,0)))</f>
        <v/>
      </c>
      <c r="N174" s="0" t="str">
        <f aca="false">IF(L174&gt;$B$6,"",INDEX(Example!$A$7:$A$506,MATCH(L174,Example!$AI$7:$AI$506,0)))</f>
        <v/>
      </c>
      <c r="O174" s="34" t="str">
        <f aca="false">IF(L174&gt;$B$6,"",INDEX(Example!$AC$7:$AC$506,MATCH(L174,Example!$AI$7:$AI$506,0)))</f>
        <v/>
      </c>
      <c r="P174" s="35" t="str">
        <f aca="false">IF(L174&gt;$B$6,"",INDEX(Example!$AD$7:$AD$506,MATCH(L174,Example!$AI$7:$AI$506,0)))</f>
        <v/>
      </c>
      <c r="Q174" s="34" t="n">
        <f aca="false">IF(L174&gt;$B$6,Q173,Q173+O174)</f>
        <v>22057.5</v>
      </c>
      <c r="R174" s="34" t="str">
        <f aca="false">IF(L174&gt;$B$6,"",Q174-MAX($Q$5:Q174))</f>
        <v/>
      </c>
    </row>
    <row r="175" customFormat="false" ht="15" hidden="false" customHeight="false" outlineLevel="0" collapsed="false">
      <c r="L175" s="0" t="n">
        <v>170</v>
      </c>
      <c r="M175" s="37" t="str">
        <f aca="false">IF(L175&gt;$B$6,"",INDEX(Example!$P$7:$P$506,MATCH(L175,Example!$AI$7:$AI$506,0)))</f>
        <v/>
      </c>
      <c r="N175" s="0" t="str">
        <f aca="false">IF(L175&gt;$B$6,"",INDEX(Example!$A$7:$A$506,MATCH(L175,Example!$AI$7:$AI$506,0)))</f>
        <v/>
      </c>
      <c r="O175" s="34" t="str">
        <f aca="false">IF(L175&gt;$B$6,"",INDEX(Example!$AC$7:$AC$506,MATCH(L175,Example!$AI$7:$AI$506,0)))</f>
        <v/>
      </c>
      <c r="P175" s="35" t="str">
        <f aca="false">IF(L175&gt;$B$6,"",INDEX(Example!$AD$7:$AD$506,MATCH(L175,Example!$AI$7:$AI$506,0)))</f>
        <v/>
      </c>
      <c r="Q175" s="34" t="n">
        <f aca="false">IF(L175&gt;$B$6,Q174,Q174+O175)</f>
        <v>22057.5</v>
      </c>
      <c r="R175" s="34" t="str">
        <f aca="false">IF(L175&gt;$B$6,"",Q175-MAX($Q$5:Q175))</f>
        <v/>
      </c>
    </row>
    <row r="176" customFormat="false" ht="15" hidden="false" customHeight="false" outlineLevel="0" collapsed="false">
      <c r="L176" s="0" t="n">
        <v>171</v>
      </c>
      <c r="M176" s="37" t="str">
        <f aca="false">IF(L176&gt;$B$6,"",INDEX(Example!$P$7:$P$506,MATCH(L176,Example!$AI$7:$AI$506,0)))</f>
        <v/>
      </c>
      <c r="N176" s="0" t="str">
        <f aca="false">IF(L176&gt;$B$6,"",INDEX(Example!$A$7:$A$506,MATCH(L176,Example!$AI$7:$AI$506,0)))</f>
        <v/>
      </c>
      <c r="O176" s="34" t="str">
        <f aca="false">IF(L176&gt;$B$6,"",INDEX(Example!$AC$7:$AC$506,MATCH(L176,Example!$AI$7:$AI$506,0)))</f>
        <v/>
      </c>
      <c r="P176" s="35" t="str">
        <f aca="false">IF(L176&gt;$B$6,"",INDEX(Example!$AD$7:$AD$506,MATCH(L176,Example!$AI$7:$AI$506,0)))</f>
        <v/>
      </c>
      <c r="Q176" s="34" t="n">
        <f aca="false">IF(L176&gt;$B$6,Q175,Q175+O176)</f>
        <v>22057.5</v>
      </c>
      <c r="R176" s="34" t="str">
        <f aca="false">IF(L176&gt;$B$6,"",Q176-MAX($Q$5:Q176))</f>
        <v/>
      </c>
    </row>
    <row r="177" customFormat="false" ht="15" hidden="false" customHeight="false" outlineLevel="0" collapsed="false">
      <c r="L177" s="0" t="n">
        <v>172</v>
      </c>
      <c r="M177" s="37" t="str">
        <f aca="false">IF(L177&gt;$B$6,"",INDEX(Example!$P$7:$P$506,MATCH(L177,Example!$AI$7:$AI$506,0)))</f>
        <v/>
      </c>
      <c r="N177" s="0" t="str">
        <f aca="false">IF(L177&gt;$B$6,"",INDEX(Example!$A$7:$A$506,MATCH(L177,Example!$AI$7:$AI$506,0)))</f>
        <v/>
      </c>
      <c r="O177" s="34" t="str">
        <f aca="false">IF(L177&gt;$B$6,"",INDEX(Example!$AC$7:$AC$506,MATCH(L177,Example!$AI$7:$AI$506,0)))</f>
        <v/>
      </c>
      <c r="P177" s="35" t="str">
        <f aca="false">IF(L177&gt;$B$6,"",INDEX(Example!$AD$7:$AD$506,MATCH(L177,Example!$AI$7:$AI$506,0)))</f>
        <v/>
      </c>
      <c r="Q177" s="34" t="n">
        <f aca="false">IF(L177&gt;$B$6,Q176,Q176+O177)</f>
        <v>22057.5</v>
      </c>
      <c r="R177" s="34" t="str">
        <f aca="false">IF(L177&gt;$B$6,"",Q177-MAX($Q$5:Q177))</f>
        <v/>
      </c>
    </row>
    <row r="178" customFormat="false" ht="15" hidden="false" customHeight="false" outlineLevel="0" collapsed="false">
      <c r="L178" s="0" t="n">
        <v>173</v>
      </c>
      <c r="M178" s="37" t="str">
        <f aca="false">IF(L178&gt;$B$6,"",INDEX(Example!$P$7:$P$506,MATCH(L178,Example!$AI$7:$AI$506,0)))</f>
        <v/>
      </c>
      <c r="N178" s="0" t="str">
        <f aca="false">IF(L178&gt;$B$6,"",INDEX(Example!$A$7:$A$506,MATCH(L178,Example!$AI$7:$AI$506,0)))</f>
        <v/>
      </c>
      <c r="O178" s="34" t="str">
        <f aca="false">IF(L178&gt;$B$6,"",INDEX(Example!$AC$7:$AC$506,MATCH(L178,Example!$AI$7:$AI$506,0)))</f>
        <v/>
      </c>
      <c r="P178" s="35" t="str">
        <f aca="false">IF(L178&gt;$B$6,"",INDEX(Example!$AD$7:$AD$506,MATCH(L178,Example!$AI$7:$AI$506,0)))</f>
        <v/>
      </c>
      <c r="Q178" s="34" t="n">
        <f aca="false">IF(L178&gt;$B$6,Q177,Q177+O178)</f>
        <v>22057.5</v>
      </c>
      <c r="R178" s="34" t="str">
        <f aca="false">IF(L178&gt;$B$6,"",Q178-MAX($Q$5:Q178))</f>
        <v/>
      </c>
    </row>
    <row r="179" customFormat="false" ht="15" hidden="false" customHeight="false" outlineLevel="0" collapsed="false">
      <c r="L179" s="0" t="n">
        <v>174</v>
      </c>
      <c r="M179" s="37" t="str">
        <f aca="false">IF(L179&gt;$B$6,"",INDEX(Example!$P$7:$P$506,MATCH(L179,Example!$AI$7:$AI$506,0)))</f>
        <v/>
      </c>
      <c r="N179" s="0" t="str">
        <f aca="false">IF(L179&gt;$B$6,"",INDEX(Example!$A$7:$A$506,MATCH(L179,Example!$AI$7:$AI$506,0)))</f>
        <v/>
      </c>
      <c r="O179" s="34" t="str">
        <f aca="false">IF(L179&gt;$B$6,"",INDEX(Example!$AC$7:$AC$506,MATCH(L179,Example!$AI$7:$AI$506,0)))</f>
        <v/>
      </c>
      <c r="P179" s="35" t="str">
        <f aca="false">IF(L179&gt;$B$6,"",INDEX(Example!$AD$7:$AD$506,MATCH(L179,Example!$AI$7:$AI$506,0)))</f>
        <v/>
      </c>
      <c r="Q179" s="34" t="n">
        <f aca="false">IF(L179&gt;$B$6,Q178,Q178+O179)</f>
        <v>22057.5</v>
      </c>
      <c r="R179" s="34" t="str">
        <f aca="false">IF(L179&gt;$B$6,"",Q179-MAX($Q$5:Q179))</f>
        <v/>
      </c>
    </row>
    <row r="180" customFormat="false" ht="15" hidden="false" customHeight="false" outlineLevel="0" collapsed="false">
      <c r="L180" s="0" t="n">
        <v>175</v>
      </c>
      <c r="M180" s="37" t="str">
        <f aca="false">IF(L180&gt;$B$6,"",INDEX(Example!$P$7:$P$506,MATCH(L180,Example!$AI$7:$AI$506,0)))</f>
        <v/>
      </c>
      <c r="N180" s="0" t="str">
        <f aca="false">IF(L180&gt;$B$6,"",INDEX(Example!$A$7:$A$506,MATCH(L180,Example!$AI$7:$AI$506,0)))</f>
        <v/>
      </c>
      <c r="O180" s="34" t="str">
        <f aca="false">IF(L180&gt;$B$6,"",INDEX(Example!$AC$7:$AC$506,MATCH(L180,Example!$AI$7:$AI$506,0)))</f>
        <v/>
      </c>
      <c r="P180" s="35" t="str">
        <f aca="false">IF(L180&gt;$B$6,"",INDEX(Example!$AD$7:$AD$506,MATCH(L180,Example!$AI$7:$AI$506,0)))</f>
        <v/>
      </c>
      <c r="Q180" s="34" t="n">
        <f aca="false">IF(L180&gt;$B$6,Q179,Q179+O180)</f>
        <v>22057.5</v>
      </c>
      <c r="R180" s="34" t="str">
        <f aca="false">IF(L180&gt;$B$6,"",Q180-MAX($Q$5:Q180))</f>
        <v/>
      </c>
    </row>
    <row r="181" customFormat="false" ht="15" hidden="false" customHeight="false" outlineLevel="0" collapsed="false">
      <c r="L181" s="0" t="n">
        <v>176</v>
      </c>
      <c r="M181" s="37" t="str">
        <f aca="false">IF(L181&gt;$B$6,"",INDEX(Example!$P$7:$P$506,MATCH(L181,Example!$AI$7:$AI$506,0)))</f>
        <v/>
      </c>
      <c r="N181" s="0" t="str">
        <f aca="false">IF(L181&gt;$B$6,"",INDEX(Example!$A$7:$A$506,MATCH(L181,Example!$AI$7:$AI$506,0)))</f>
        <v/>
      </c>
      <c r="O181" s="34" t="str">
        <f aca="false">IF(L181&gt;$B$6,"",INDEX(Example!$AC$7:$AC$506,MATCH(L181,Example!$AI$7:$AI$506,0)))</f>
        <v/>
      </c>
      <c r="P181" s="35" t="str">
        <f aca="false">IF(L181&gt;$B$6,"",INDEX(Example!$AD$7:$AD$506,MATCH(L181,Example!$AI$7:$AI$506,0)))</f>
        <v/>
      </c>
      <c r="Q181" s="34" t="n">
        <f aca="false">IF(L181&gt;$B$6,Q180,Q180+O181)</f>
        <v>22057.5</v>
      </c>
      <c r="R181" s="34" t="str">
        <f aca="false">IF(L181&gt;$B$6,"",Q181-MAX($Q$5:Q181))</f>
        <v/>
      </c>
    </row>
    <row r="182" customFormat="false" ht="15" hidden="false" customHeight="false" outlineLevel="0" collapsed="false">
      <c r="L182" s="0" t="n">
        <v>177</v>
      </c>
      <c r="M182" s="37" t="str">
        <f aca="false">IF(L182&gt;$B$6,"",INDEX(Example!$P$7:$P$506,MATCH(L182,Example!$AI$7:$AI$506,0)))</f>
        <v/>
      </c>
      <c r="N182" s="0" t="str">
        <f aca="false">IF(L182&gt;$B$6,"",INDEX(Example!$A$7:$A$506,MATCH(L182,Example!$AI$7:$AI$506,0)))</f>
        <v/>
      </c>
      <c r="O182" s="34" t="str">
        <f aca="false">IF(L182&gt;$B$6,"",INDEX(Example!$AC$7:$AC$506,MATCH(L182,Example!$AI$7:$AI$506,0)))</f>
        <v/>
      </c>
      <c r="P182" s="35" t="str">
        <f aca="false">IF(L182&gt;$B$6,"",INDEX(Example!$AD$7:$AD$506,MATCH(L182,Example!$AI$7:$AI$506,0)))</f>
        <v/>
      </c>
      <c r="Q182" s="34" t="n">
        <f aca="false">IF(L182&gt;$B$6,Q181,Q181+O182)</f>
        <v>22057.5</v>
      </c>
      <c r="R182" s="34" t="str">
        <f aca="false">IF(L182&gt;$B$6,"",Q182-MAX($Q$5:Q182))</f>
        <v/>
      </c>
    </row>
    <row r="183" customFormat="false" ht="15" hidden="false" customHeight="false" outlineLevel="0" collapsed="false">
      <c r="L183" s="0" t="n">
        <v>178</v>
      </c>
      <c r="M183" s="37" t="str">
        <f aca="false">IF(L183&gt;$B$6,"",INDEX(Example!$P$7:$P$506,MATCH(L183,Example!$AI$7:$AI$506,0)))</f>
        <v/>
      </c>
      <c r="N183" s="0" t="str">
        <f aca="false">IF(L183&gt;$B$6,"",INDEX(Example!$A$7:$A$506,MATCH(L183,Example!$AI$7:$AI$506,0)))</f>
        <v/>
      </c>
      <c r="O183" s="34" t="str">
        <f aca="false">IF(L183&gt;$B$6,"",INDEX(Example!$AC$7:$AC$506,MATCH(L183,Example!$AI$7:$AI$506,0)))</f>
        <v/>
      </c>
      <c r="P183" s="35" t="str">
        <f aca="false">IF(L183&gt;$B$6,"",INDEX(Example!$AD$7:$AD$506,MATCH(L183,Example!$AI$7:$AI$506,0)))</f>
        <v/>
      </c>
      <c r="Q183" s="34" t="n">
        <f aca="false">IF(L183&gt;$B$6,Q182,Q182+O183)</f>
        <v>22057.5</v>
      </c>
      <c r="R183" s="34" t="str">
        <f aca="false">IF(L183&gt;$B$6,"",Q183-MAX($Q$5:Q183))</f>
        <v/>
      </c>
    </row>
    <row r="184" customFormat="false" ht="15" hidden="false" customHeight="false" outlineLevel="0" collapsed="false">
      <c r="L184" s="0" t="n">
        <v>179</v>
      </c>
      <c r="M184" s="37" t="str">
        <f aca="false">IF(L184&gt;$B$6,"",INDEX(Example!$P$7:$P$506,MATCH(L184,Example!$AI$7:$AI$506,0)))</f>
        <v/>
      </c>
      <c r="N184" s="0" t="str">
        <f aca="false">IF(L184&gt;$B$6,"",INDEX(Example!$A$7:$A$506,MATCH(L184,Example!$AI$7:$AI$506,0)))</f>
        <v/>
      </c>
      <c r="O184" s="34" t="str">
        <f aca="false">IF(L184&gt;$B$6,"",INDEX(Example!$AC$7:$AC$506,MATCH(L184,Example!$AI$7:$AI$506,0)))</f>
        <v/>
      </c>
      <c r="P184" s="35" t="str">
        <f aca="false">IF(L184&gt;$B$6,"",INDEX(Example!$AD$7:$AD$506,MATCH(L184,Example!$AI$7:$AI$506,0)))</f>
        <v/>
      </c>
      <c r="Q184" s="34" t="n">
        <f aca="false">IF(L184&gt;$B$6,Q183,Q183+O184)</f>
        <v>22057.5</v>
      </c>
      <c r="R184" s="34" t="str">
        <f aca="false">IF(L184&gt;$B$6,"",Q184-MAX($Q$5:Q184))</f>
        <v/>
      </c>
    </row>
    <row r="185" customFormat="false" ht="15" hidden="false" customHeight="false" outlineLevel="0" collapsed="false">
      <c r="L185" s="0" t="n">
        <v>180</v>
      </c>
      <c r="M185" s="37" t="str">
        <f aca="false">IF(L185&gt;$B$6,"",INDEX(Example!$P$7:$P$506,MATCH(L185,Example!$AI$7:$AI$506,0)))</f>
        <v/>
      </c>
      <c r="N185" s="0" t="str">
        <f aca="false">IF(L185&gt;$B$6,"",INDEX(Example!$A$7:$A$506,MATCH(L185,Example!$AI$7:$AI$506,0)))</f>
        <v/>
      </c>
      <c r="O185" s="34" t="str">
        <f aca="false">IF(L185&gt;$B$6,"",INDEX(Example!$AC$7:$AC$506,MATCH(L185,Example!$AI$7:$AI$506,0)))</f>
        <v/>
      </c>
      <c r="P185" s="35" t="str">
        <f aca="false">IF(L185&gt;$B$6,"",INDEX(Example!$AD$7:$AD$506,MATCH(L185,Example!$AI$7:$AI$506,0)))</f>
        <v/>
      </c>
      <c r="Q185" s="34" t="n">
        <f aca="false">IF(L185&gt;$B$6,Q184,Q184+O185)</f>
        <v>22057.5</v>
      </c>
      <c r="R185" s="34" t="str">
        <f aca="false">IF(L185&gt;$B$6,"",Q185-MAX($Q$5:Q185))</f>
        <v/>
      </c>
    </row>
    <row r="186" customFormat="false" ht="15" hidden="false" customHeight="false" outlineLevel="0" collapsed="false">
      <c r="L186" s="0" t="n">
        <v>181</v>
      </c>
      <c r="M186" s="37" t="str">
        <f aca="false">IF(L186&gt;$B$6,"",INDEX(Example!$P$7:$P$506,MATCH(L186,Example!$AI$7:$AI$506,0)))</f>
        <v/>
      </c>
      <c r="N186" s="0" t="str">
        <f aca="false">IF(L186&gt;$B$6,"",INDEX(Example!$A$7:$A$506,MATCH(L186,Example!$AI$7:$AI$506,0)))</f>
        <v/>
      </c>
      <c r="O186" s="34" t="str">
        <f aca="false">IF(L186&gt;$B$6,"",INDEX(Example!$AC$7:$AC$506,MATCH(L186,Example!$AI$7:$AI$506,0)))</f>
        <v/>
      </c>
      <c r="P186" s="35" t="str">
        <f aca="false">IF(L186&gt;$B$6,"",INDEX(Example!$AD$7:$AD$506,MATCH(L186,Example!$AI$7:$AI$506,0)))</f>
        <v/>
      </c>
      <c r="Q186" s="34" t="n">
        <f aca="false">IF(L186&gt;$B$6,Q185,Q185+O186)</f>
        <v>22057.5</v>
      </c>
      <c r="R186" s="34" t="str">
        <f aca="false">IF(L186&gt;$B$6,"",Q186-MAX($Q$5:Q186))</f>
        <v/>
      </c>
    </row>
    <row r="187" customFormat="false" ht="15" hidden="false" customHeight="false" outlineLevel="0" collapsed="false">
      <c r="L187" s="0" t="n">
        <v>182</v>
      </c>
      <c r="M187" s="37" t="str">
        <f aca="false">IF(L187&gt;$B$6,"",INDEX(Example!$P$7:$P$506,MATCH(L187,Example!$AI$7:$AI$506,0)))</f>
        <v/>
      </c>
      <c r="N187" s="0" t="str">
        <f aca="false">IF(L187&gt;$B$6,"",INDEX(Example!$A$7:$A$506,MATCH(L187,Example!$AI$7:$AI$506,0)))</f>
        <v/>
      </c>
      <c r="O187" s="34" t="str">
        <f aca="false">IF(L187&gt;$B$6,"",INDEX(Example!$AC$7:$AC$506,MATCH(L187,Example!$AI$7:$AI$506,0)))</f>
        <v/>
      </c>
      <c r="P187" s="35" t="str">
        <f aca="false">IF(L187&gt;$B$6,"",INDEX(Example!$AD$7:$AD$506,MATCH(L187,Example!$AI$7:$AI$506,0)))</f>
        <v/>
      </c>
      <c r="Q187" s="34" t="n">
        <f aca="false">IF(L187&gt;$B$6,Q186,Q186+O187)</f>
        <v>22057.5</v>
      </c>
      <c r="R187" s="34" t="str">
        <f aca="false">IF(L187&gt;$B$6,"",Q187-MAX($Q$5:Q187))</f>
        <v/>
      </c>
    </row>
    <row r="188" customFormat="false" ht="15" hidden="false" customHeight="false" outlineLevel="0" collapsed="false">
      <c r="L188" s="0" t="n">
        <v>183</v>
      </c>
      <c r="M188" s="37" t="str">
        <f aca="false">IF(L188&gt;$B$6,"",INDEX(Example!$P$7:$P$506,MATCH(L188,Example!$AI$7:$AI$506,0)))</f>
        <v/>
      </c>
      <c r="N188" s="0" t="str">
        <f aca="false">IF(L188&gt;$B$6,"",INDEX(Example!$A$7:$A$506,MATCH(L188,Example!$AI$7:$AI$506,0)))</f>
        <v/>
      </c>
      <c r="O188" s="34" t="str">
        <f aca="false">IF(L188&gt;$B$6,"",INDEX(Example!$AC$7:$AC$506,MATCH(L188,Example!$AI$7:$AI$506,0)))</f>
        <v/>
      </c>
      <c r="P188" s="35" t="str">
        <f aca="false">IF(L188&gt;$B$6,"",INDEX(Example!$AD$7:$AD$506,MATCH(L188,Example!$AI$7:$AI$506,0)))</f>
        <v/>
      </c>
      <c r="Q188" s="34" t="n">
        <f aca="false">IF(L188&gt;$B$6,Q187,Q187+O188)</f>
        <v>22057.5</v>
      </c>
      <c r="R188" s="34" t="str">
        <f aca="false">IF(L188&gt;$B$6,"",Q188-MAX($Q$5:Q188))</f>
        <v/>
      </c>
    </row>
    <row r="189" customFormat="false" ht="15" hidden="false" customHeight="false" outlineLevel="0" collapsed="false">
      <c r="L189" s="0" t="n">
        <v>184</v>
      </c>
      <c r="M189" s="37" t="str">
        <f aca="false">IF(L189&gt;$B$6,"",INDEX(Example!$P$7:$P$506,MATCH(L189,Example!$AI$7:$AI$506,0)))</f>
        <v/>
      </c>
      <c r="N189" s="0" t="str">
        <f aca="false">IF(L189&gt;$B$6,"",INDEX(Example!$A$7:$A$506,MATCH(L189,Example!$AI$7:$AI$506,0)))</f>
        <v/>
      </c>
      <c r="O189" s="34" t="str">
        <f aca="false">IF(L189&gt;$B$6,"",INDEX(Example!$AC$7:$AC$506,MATCH(L189,Example!$AI$7:$AI$506,0)))</f>
        <v/>
      </c>
      <c r="P189" s="35" t="str">
        <f aca="false">IF(L189&gt;$B$6,"",INDEX(Example!$AD$7:$AD$506,MATCH(L189,Example!$AI$7:$AI$506,0)))</f>
        <v/>
      </c>
      <c r="Q189" s="34" t="n">
        <f aca="false">IF(L189&gt;$B$6,Q188,Q188+O189)</f>
        <v>22057.5</v>
      </c>
      <c r="R189" s="34" t="str">
        <f aca="false">IF(L189&gt;$B$6,"",Q189-MAX($Q$5:Q189))</f>
        <v/>
      </c>
    </row>
    <row r="190" customFormat="false" ht="15" hidden="false" customHeight="false" outlineLevel="0" collapsed="false">
      <c r="L190" s="0" t="n">
        <v>185</v>
      </c>
      <c r="M190" s="37" t="str">
        <f aca="false">IF(L190&gt;$B$6,"",INDEX(Example!$P$7:$P$506,MATCH(L190,Example!$AI$7:$AI$506,0)))</f>
        <v/>
      </c>
      <c r="N190" s="0" t="str">
        <f aca="false">IF(L190&gt;$B$6,"",INDEX(Example!$A$7:$A$506,MATCH(L190,Example!$AI$7:$AI$506,0)))</f>
        <v/>
      </c>
      <c r="O190" s="34" t="str">
        <f aca="false">IF(L190&gt;$B$6,"",INDEX(Example!$AC$7:$AC$506,MATCH(L190,Example!$AI$7:$AI$506,0)))</f>
        <v/>
      </c>
      <c r="P190" s="35" t="str">
        <f aca="false">IF(L190&gt;$B$6,"",INDEX(Example!$AD$7:$AD$506,MATCH(L190,Example!$AI$7:$AI$506,0)))</f>
        <v/>
      </c>
      <c r="Q190" s="34" t="n">
        <f aca="false">IF(L190&gt;$B$6,Q189,Q189+O190)</f>
        <v>22057.5</v>
      </c>
      <c r="R190" s="34" t="str">
        <f aca="false">IF(L190&gt;$B$6,"",Q190-MAX($Q$5:Q190))</f>
        <v/>
      </c>
    </row>
    <row r="191" customFormat="false" ht="15" hidden="false" customHeight="false" outlineLevel="0" collapsed="false">
      <c r="L191" s="0" t="n">
        <v>186</v>
      </c>
      <c r="M191" s="37" t="str">
        <f aca="false">IF(L191&gt;$B$6,"",INDEX(Example!$P$7:$P$506,MATCH(L191,Example!$AI$7:$AI$506,0)))</f>
        <v/>
      </c>
      <c r="N191" s="0" t="str">
        <f aca="false">IF(L191&gt;$B$6,"",INDEX(Example!$A$7:$A$506,MATCH(L191,Example!$AI$7:$AI$506,0)))</f>
        <v/>
      </c>
      <c r="O191" s="34" t="str">
        <f aca="false">IF(L191&gt;$B$6,"",INDEX(Example!$AC$7:$AC$506,MATCH(L191,Example!$AI$7:$AI$506,0)))</f>
        <v/>
      </c>
      <c r="P191" s="35" t="str">
        <f aca="false">IF(L191&gt;$B$6,"",INDEX(Example!$AD$7:$AD$506,MATCH(L191,Example!$AI$7:$AI$506,0)))</f>
        <v/>
      </c>
      <c r="Q191" s="34" t="n">
        <f aca="false">IF(L191&gt;$B$6,Q190,Q190+O191)</f>
        <v>22057.5</v>
      </c>
      <c r="R191" s="34" t="str">
        <f aca="false">IF(L191&gt;$B$6,"",Q191-MAX($Q$5:Q191))</f>
        <v/>
      </c>
    </row>
    <row r="192" customFormat="false" ht="15" hidden="false" customHeight="false" outlineLevel="0" collapsed="false">
      <c r="L192" s="0" t="n">
        <v>187</v>
      </c>
      <c r="M192" s="37" t="str">
        <f aca="false">IF(L192&gt;$B$6,"",INDEX(Example!$P$7:$P$506,MATCH(L192,Example!$AI$7:$AI$506,0)))</f>
        <v/>
      </c>
      <c r="N192" s="0" t="str">
        <f aca="false">IF(L192&gt;$B$6,"",INDEX(Example!$A$7:$A$506,MATCH(L192,Example!$AI$7:$AI$506,0)))</f>
        <v/>
      </c>
      <c r="O192" s="34" t="str">
        <f aca="false">IF(L192&gt;$B$6,"",INDEX(Example!$AC$7:$AC$506,MATCH(L192,Example!$AI$7:$AI$506,0)))</f>
        <v/>
      </c>
      <c r="P192" s="35" t="str">
        <f aca="false">IF(L192&gt;$B$6,"",INDEX(Example!$AD$7:$AD$506,MATCH(L192,Example!$AI$7:$AI$506,0)))</f>
        <v/>
      </c>
      <c r="Q192" s="34" t="n">
        <f aca="false">IF(L192&gt;$B$6,Q191,Q191+O192)</f>
        <v>22057.5</v>
      </c>
      <c r="R192" s="34" t="str">
        <f aca="false">IF(L192&gt;$B$6,"",Q192-MAX($Q$5:Q192))</f>
        <v/>
      </c>
    </row>
    <row r="193" customFormat="false" ht="15" hidden="false" customHeight="false" outlineLevel="0" collapsed="false">
      <c r="L193" s="0" t="n">
        <v>188</v>
      </c>
      <c r="M193" s="37" t="str">
        <f aca="false">IF(L193&gt;$B$6,"",INDEX(Example!$P$7:$P$506,MATCH(L193,Example!$AI$7:$AI$506,0)))</f>
        <v/>
      </c>
      <c r="N193" s="0" t="str">
        <f aca="false">IF(L193&gt;$B$6,"",INDEX(Example!$A$7:$A$506,MATCH(L193,Example!$AI$7:$AI$506,0)))</f>
        <v/>
      </c>
      <c r="O193" s="34" t="str">
        <f aca="false">IF(L193&gt;$B$6,"",INDEX(Example!$AC$7:$AC$506,MATCH(L193,Example!$AI$7:$AI$506,0)))</f>
        <v/>
      </c>
      <c r="P193" s="35" t="str">
        <f aca="false">IF(L193&gt;$B$6,"",INDEX(Example!$AD$7:$AD$506,MATCH(L193,Example!$AI$7:$AI$506,0)))</f>
        <v/>
      </c>
      <c r="Q193" s="34" t="n">
        <f aca="false">IF(L193&gt;$B$6,Q192,Q192+O193)</f>
        <v>22057.5</v>
      </c>
      <c r="R193" s="34" t="str">
        <f aca="false">IF(L193&gt;$B$6,"",Q193-MAX($Q$5:Q193))</f>
        <v/>
      </c>
    </row>
    <row r="194" customFormat="false" ht="15" hidden="false" customHeight="false" outlineLevel="0" collapsed="false">
      <c r="L194" s="0" t="n">
        <v>189</v>
      </c>
      <c r="M194" s="37" t="str">
        <f aca="false">IF(L194&gt;$B$6,"",INDEX(Example!$P$7:$P$506,MATCH(L194,Example!$AI$7:$AI$506,0)))</f>
        <v/>
      </c>
      <c r="N194" s="0" t="str">
        <f aca="false">IF(L194&gt;$B$6,"",INDEX(Example!$A$7:$A$506,MATCH(L194,Example!$AI$7:$AI$506,0)))</f>
        <v/>
      </c>
      <c r="O194" s="34" t="str">
        <f aca="false">IF(L194&gt;$B$6,"",INDEX(Example!$AC$7:$AC$506,MATCH(L194,Example!$AI$7:$AI$506,0)))</f>
        <v/>
      </c>
      <c r="P194" s="35" t="str">
        <f aca="false">IF(L194&gt;$B$6,"",INDEX(Example!$AD$7:$AD$506,MATCH(L194,Example!$AI$7:$AI$506,0)))</f>
        <v/>
      </c>
      <c r="Q194" s="34" t="n">
        <f aca="false">IF(L194&gt;$B$6,Q193,Q193+O194)</f>
        <v>22057.5</v>
      </c>
      <c r="R194" s="34" t="str">
        <f aca="false">IF(L194&gt;$B$6,"",Q194-MAX($Q$5:Q194))</f>
        <v/>
      </c>
    </row>
    <row r="195" customFormat="false" ht="15" hidden="false" customHeight="false" outlineLevel="0" collapsed="false">
      <c r="L195" s="0" t="n">
        <v>190</v>
      </c>
      <c r="M195" s="37" t="str">
        <f aca="false">IF(L195&gt;$B$6,"",INDEX(Example!$P$7:$P$506,MATCH(L195,Example!$AI$7:$AI$506,0)))</f>
        <v/>
      </c>
      <c r="N195" s="0" t="str">
        <f aca="false">IF(L195&gt;$B$6,"",INDEX(Example!$A$7:$A$506,MATCH(L195,Example!$AI$7:$AI$506,0)))</f>
        <v/>
      </c>
      <c r="O195" s="34" t="str">
        <f aca="false">IF(L195&gt;$B$6,"",INDEX(Example!$AC$7:$AC$506,MATCH(L195,Example!$AI$7:$AI$506,0)))</f>
        <v/>
      </c>
      <c r="P195" s="35" t="str">
        <f aca="false">IF(L195&gt;$B$6,"",INDEX(Example!$AD$7:$AD$506,MATCH(L195,Example!$AI$7:$AI$506,0)))</f>
        <v/>
      </c>
      <c r="Q195" s="34" t="n">
        <f aca="false">IF(L195&gt;$B$6,Q194,Q194+O195)</f>
        <v>22057.5</v>
      </c>
      <c r="R195" s="34" t="str">
        <f aca="false">IF(L195&gt;$B$6,"",Q195-MAX($Q$5:Q195))</f>
        <v/>
      </c>
    </row>
    <row r="196" customFormat="false" ht="15" hidden="false" customHeight="false" outlineLevel="0" collapsed="false">
      <c r="L196" s="0" t="n">
        <v>191</v>
      </c>
      <c r="M196" s="37" t="str">
        <f aca="false">IF(L196&gt;$B$6,"",INDEX(Example!$P$7:$P$506,MATCH(L196,Example!$AI$7:$AI$506,0)))</f>
        <v/>
      </c>
      <c r="N196" s="0" t="str">
        <f aca="false">IF(L196&gt;$B$6,"",INDEX(Example!$A$7:$A$506,MATCH(L196,Example!$AI$7:$AI$506,0)))</f>
        <v/>
      </c>
      <c r="O196" s="34" t="str">
        <f aca="false">IF(L196&gt;$B$6,"",INDEX(Example!$AC$7:$AC$506,MATCH(L196,Example!$AI$7:$AI$506,0)))</f>
        <v/>
      </c>
      <c r="P196" s="35" t="str">
        <f aca="false">IF(L196&gt;$B$6,"",INDEX(Example!$AD$7:$AD$506,MATCH(L196,Example!$AI$7:$AI$506,0)))</f>
        <v/>
      </c>
      <c r="Q196" s="34" t="n">
        <f aca="false">IF(L196&gt;$B$6,Q195,Q195+O196)</f>
        <v>22057.5</v>
      </c>
      <c r="R196" s="34" t="str">
        <f aca="false">IF(L196&gt;$B$6,"",Q196-MAX($Q$5:Q196))</f>
        <v/>
      </c>
    </row>
    <row r="197" customFormat="false" ht="15" hidden="false" customHeight="false" outlineLevel="0" collapsed="false">
      <c r="L197" s="0" t="n">
        <v>192</v>
      </c>
      <c r="M197" s="37" t="str">
        <f aca="false">IF(L197&gt;$B$6,"",INDEX(Example!$P$7:$P$506,MATCH(L197,Example!$AI$7:$AI$506,0)))</f>
        <v/>
      </c>
      <c r="N197" s="0" t="str">
        <f aca="false">IF(L197&gt;$B$6,"",INDEX(Example!$A$7:$A$506,MATCH(L197,Example!$AI$7:$AI$506,0)))</f>
        <v/>
      </c>
      <c r="O197" s="34" t="str">
        <f aca="false">IF(L197&gt;$B$6,"",INDEX(Example!$AC$7:$AC$506,MATCH(L197,Example!$AI$7:$AI$506,0)))</f>
        <v/>
      </c>
      <c r="P197" s="35" t="str">
        <f aca="false">IF(L197&gt;$B$6,"",INDEX(Example!$AD$7:$AD$506,MATCH(L197,Example!$AI$7:$AI$506,0)))</f>
        <v/>
      </c>
      <c r="Q197" s="34" t="n">
        <f aca="false">IF(L197&gt;$B$6,Q196,Q196+O197)</f>
        <v>22057.5</v>
      </c>
      <c r="R197" s="34" t="str">
        <f aca="false">IF(L197&gt;$B$6,"",Q197-MAX($Q$5:Q197))</f>
        <v/>
      </c>
    </row>
    <row r="198" customFormat="false" ht="15" hidden="false" customHeight="false" outlineLevel="0" collapsed="false">
      <c r="L198" s="0" t="n">
        <v>193</v>
      </c>
      <c r="M198" s="37" t="str">
        <f aca="false">IF(L198&gt;$B$6,"",INDEX(Example!$P$7:$P$506,MATCH(L198,Example!$AI$7:$AI$506,0)))</f>
        <v/>
      </c>
      <c r="N198" s="0" t="str">
        <f aca="false">IF(L198&gt;$B$6,"",INDEX(Example!$A$7:$A$506,MATCH(L198,Example!$AI$7:$AI$506,0)))</f>
        <v/>
      </c>
      <c r="O198" s="34" t="str">
        <f aca="false">IF(L198&gt;$B$6,"",INDEX(Example!$AC$7:$AC$506,MATCH(L198,Example!$AI$7:$AI$506,0)))</f>
        <v/>
      </c>
      <c r="P198" s="35" t="str">
        <f aca="false">IF(L198&gt;$B$6,"",INDEX(Example!$AD$7:$AD$506,MATCH(L198,Example!$AI$7:$AI$506,0)))</f>
        <v/>
      </c>
      <c r="Q198" s="34" t="n">
        <f aca="false">IF(L198&gt;$B$6,Q197,Q197+O198)</f>
        <v>22057.5</v>
      </c>
      <c r="R198" s="34" t="str">
        <f aca="false">IF(L198&gt;$B$6,"",Q198-MAX($Q$5:Q198))</f>
        <v/>
      </c>
    </row>
    <row r="199" customFormat="false" ht="15" hidden="false" customHeight="false" outlineLevel="0" collapsed="false">
      <c r="L199" s="0" t="n">
        <v>194</v>
      </c>
      <c r="M199" s="37" t="str">
        <f aca="false">IF(L199&gt;$B$6,"",INDEX(Example!$P$7:$P$506,MATCH(L199,Example!$AI$7:$AI$506,0)))</f>
        <v/>
      </c>
      <c r="N199" s="0" t="str">
        <f aca="false">IF(L199&gt;$B$6,"",INDEX(Example!$A$7:$A$506,MATCH(L199,Example!$AI$7:$AI$506,0)))</f>
        <v/>
      </c>
      <c r="O199" s="34" t="str">
        <f aca="false">IF(L199&gt;$B$6,"",INDEX(Example!$AC$7:$AC$506,MATCH(L199,Example!$AI$7:$AI$506,0)))</f>
        <v/>
      </c>
      <c r="P199" s="35" t="str">
        <f aca="false">IF(L199&gt;$B$6,"",INDEX(Example!$AD$7:$AD$506,MATCH(L199,Example!$AI$7:$AI$506,0)))</f>
        <v/>
      </c>
      <c r="Q199" s="34" t="n">
        <f aca="false">IF(L199&gt;$B$6,Q198,Q198+O199)</f>
        <v>22057.5</v>
      </c>
      <c r="R199" s="34" t="str">
        <f aca="false">IF(L199&gt;$B$6,"",Q199-MAX($Q$5:Q199))</f>
        <v/>
      </c>
    </row>
    <row r="200" customFormat="false" ht="15" hidden="false" customHeight="false" outlineLevel="0" collapsed="false">
      <c r="L200" s="0" t="n">
        <v>195</v>
      </c>
      <c r="M200" s="37" t="str">
        <f aca="false">IF(L200&gt;$B$6,"",INDEX(Example!$P$7:$P$506,MATCH(L200,Example!$AI$7:$AI$506,0)))</f>
        <v/>
      </c>
      <c r="N200" s="0" t="str">
        <f aca="false">IF(L200&gt;$B$6,"",INDEX(Example!$A$7:$A$506,MATCH(L200,Example!$AI$7:$AI$506,0)))</f>
        <v/>
      </c>
      <c r="O200" s="34" t="str">
        <f aca="false">IF(L200&gt;$B$6,"",INDEX(Example!$AC$7:$AC$506,MATCH(L200,Example!$AI$7:$AI$506,0)))</f>
        <v/>
      </c>
      <c r="P200" s="35" t="str">
        <f aca="false">IF(L200&gt;$B$6,"",INDEX(Example!$AD$7:$AD$506,MATCH(L200,Example!$AI$7:$AI$506,0)))</f>
        <v/>
      </c>
      <c r="Q200" s="34" t="n">
        <f aca="false">IF(L200&gt;$B$6,Q199,Q199+O200)</f>
        <v>22057.5</v>
      </c>
      <c r="R200" s="34" t="str">
        <f aca="false">IF(L200&gt;$B$6,"",Q200-MAX($Q$5:Q200))</f>
        <v/>
      </c>
    </row>
    <row r="201" customFormat="false" ht="15" hidden="false" customHeight="false" outlineLevel="0" collapsed="false">
      <c r="L201" s="0" t="n">
        <v>196</v>
      </c>
      <c r="M201" s="37" t="str">
        <f aca="false">IF(L201&gt;$B$6,"",INDEX(Example!$P$7:$P$506,MATCH(L201,Example!$AI$7:$AI$506,0)))</f>
        <v/>
      </c>
      <c r="N201" s="0" t="str">
        <f aca="false">IF(L201&gt;$B$6,"",INDEX(Example!$A$7:$A$506,MATCH(L201,Example!$AI$7:$AI$506,0)))</f>
        <v/>
      </c>
      <c r="O201" s="34" t="str">
        <f aca="false">IF(L201&gt;$B$6,"",INDEX(Example!$AC$7:$AC$506,MATCH(L201,Example!$AI$7:$AI$506,0)))</f>
        <v/>
      </c>
      <c r="P201" s="35" t="str">
        <f aca="false">IF(L201&gt;$B$6,"",INDEX(Example!$AD$7:$AD$506,MATCH(L201,Example!$AI$7:$AI$506,0)))</f>
        <v/>
      </c>
      <c r="Q201" s="34" t="n">
        <f aca="false">IF(L201&gt;$B$6,Q200,Q200+O201)</f>
        <v>22057.5</v>
      </c>
      <c r="R201" s="34" t="str">
        <f aca="false">IF(L201&gt;$B$6,"",Q201-MAX($Q$5:Q201))</f>
        <v/>
      </c>
    </row>
    <row r="202" customFormat="false" ht="15" hidden="false" customHeight="false" outlineLevel="0" collapsed="false">
      <c r="L202" s="0" t="n">
        <v>197</v>
      </c>
      <c r="M202" s="37" t="str">
        <f aca="false">IF(L202&gt;$B$6,"",INDEX(Example!$P$7:$P$506,MATCH(L202,Example!$AI$7:$AI$506,0)))</f>
        <v/>
      </c>
      <c r="N202" s="0" t="str">
        <f aca="false">IF(L202&gt;$B$6,"",INDEX(Example!$A$7:$A$506,MATCH(L202,Example!$AI$7:$AI$506,0)))</f>
        <v/>
      </c>
      <c r="O202" s="34" t="str">
        <f aca="false">IF(L202&gt;$B$6,"",INDEX(Example!$AC$7:$AC$506,MATCH(L202,Example!$AI$7:$AI$506,0)))</f>
        <v/>
      </c>
      <c r="P202" s="35" t="str">
        <f aca="false">IF(L202&gt;$B$6,"",INDEX(Example!$AD$7:$AD$506,MATCH(L202,Example!$AI$7:$AI$506,0)))</f>
        <v/>
      </c>
      <c r="Q202" s="34" t="n">
        <f aca="false">IF(L202&gt;$B$6,Q201,Q201+O202)</f>
        <v>22057.5</v>
      </c>
      <c r="R202" s="34" t="str">
        <f aca="false">IF(L202&gt;$B$6,"",Q202-MAX($Q$5:Q202))</f>
        <v/>
      </c>
    </row>
    <row r="203" customFormat="false" ht="15" hidden="false" customHeight="false" outlineLevel="0" collapsed="false">
      <c r="L203" s="0" t="n">
        <v>198</v>
      </c>
      <c r="M203" s="37" t="str">
        <f aca="false">IF(L203&gt;$B$6,"",INDEX(Example!$P$7:$P$506,MATCH(L203,Example!$AI$7:$AI$506,0)))</f>
        <v/>
      </c>
      <c r="N203" s="0" t="str">
        <f aca="false">IF(L203&gt;$B$6,"",INDEX(Example!$A$7:$A$506,MATCH(L203,Example!$AI$7:$AI$506,0)))</f>
        <v/>
      </c>
      <c r="O203" s="34" t="str">
        <f aca="false">IF(L203&gt;$B$6,"",INDEX(Example!$AC$7:$AC$506,MATCH(L203,Example!$AI$7:$AI$506,0)))</f>
        <v/>
      </c>
      <c r="P203" s="35" t="str">
        <f aca="false">IF(L203&gt;$B$6,"",INDEX(Example!$AD$7:$AD$506,MATCH(L203,Example!$AI$7:$AI$506,0)))</f>
        <v/>
      </c>
      <c r="Q203" s="34" t="n">
        <f aca="false">IF(L203&gt;$B$6,Q202,Q202+O203)</f>
        <v>22057.5</v>
      </c>
      <c r="R203" s="34" t="str">
        <f aca="false">IF(L203&gt;$B$6,"",Q203-MAX($Q$5:Q203))</f>
        <v/>
      </c>
    </row>
    <row r="204" customFormat="false" ht="15" hidden="false" customHeight="false" outlineLevel="0" collapsed="false">
      <c r="L204" s="0" t="n">
        <v>199</v>
      </c>
      <c r="M204" s="37" t="str">
        <f aca="false">IF(L204&gt;$B$6,"",INDEX(Example!$P$7:$P$506,MATCH(L204,Example!$AI$7:$AI$506,0)))</f>
        <v/>
      </c>
      <c r="N204" s="0" t="str">
        <f aca="false">IF(L204&gt;$B$6,"",INDEX(Example!$A$7:$A$506,MATCH(L204,Example!$AI$7:$AI$506,0)))</f>
        <v/>
      </c>
      <c r="O204" s="34" t="str">
        <f aca="false">IF(L204&gt;$B$6,"",INDEX(Example!$AC$7:$AC$506,MATCH(L204,Example!$AI$7:$AI$506,0)))</f>
        <v/>
      </c>
      <c r="P204" s="35" t="str">
        <f aca="false">IF(L204&gt;$B$6,"",INDEX(Example!$AD$7:$AD$506,MATCH(L204,Example!$AI$7:$AI$506,0)))</f>
        <v/>
      </c>
      <c r="Q204" s="34" t="n">
        <f aca="false">IF(L204&gt;$B$6,Q203,Q203+O204)</f>
        <v>22057.5</v>
      </c>
      <c r="R204" s="34" t="str">
        <f aca="false">IF(L204&gt;$B$6,"",Q204-MAX($Q$5:Q204))</f>
        <v/>
      </c>
    </row>
    <row r="205" customFormat="false" ht="15" hidden="false" customHeight="false" outlineLevel="0" collapsed="false">
      <c r="L205" s="0" t="n">
        <v>200</v>
      </c>
      <c r="M205" s="37" t="str">
        <f aca="false">IF(L205&gt;$B$6,"",INDEX(Example!$P$7:$P$506,MATCH(L205,Example!$AI$7:$AI$506,0)))</f>
        <v/>
      </c>
      <c r="N205" s="0" t="str">
        <f aca="false">IF(L205&gt;$B$6,"",INDEX(Example!$A$7:$A$506,MATCH(L205,Example!$AI$7:$AI$506,0)))</f>
        <v/>
      </c>
      <c r="O205" s="34" t="str">
        <f aca="false">IF(L205&gt;$B$6,"",INDEX(Example!$AC$7:$AC$506,MATCH(L205,Example!$AI$7:$AI$506,0)))</f>
        <v/>
      </c>
      <c r="P205" s="35" t="str">
        <f aca="false">IF(L205&gt;$B$6,"",INDEX(Example!$AD$7:$AD$506,MATCH(L205,Example!$AI$7:$AI$506,0)))</f>
        <v/>
      </c>
      <c r="Q205" s="34" t="n">
        <f aca="false">IF(L205&gt;$B$6,Q204,Q204+O205)</f>
        <v>22057.5</v>
      </c>
      <c r="R205" s="34" t="str">
        <f aca="false">IF(L205&gt;$B$6,"",Q205-MAX($Q$5:Q205))</f>
        <v/>
      </c>
    </row>
    <row r="206" customFormat="false" ht="15" hidden="false" customHeight="false" outlineLevel="0" collapsed="false">
      <c r="L206" s="0" t="n">
        <v>201</v>
      </c>
      <c r="M206" s="37" t="str">
        <f aca="false">IF(L206&gt;$B$6,"",INDEX(Example!$P$7:$P$506,MATCH(L206,Example!$AI$7:$AI$506,0)))</f>
        <v/>
      </c>
      <c r="N206" s="0" t="str">
        <f aca="false">IF(L206&gt;$B$6,"",INDEX(Example!$A$7:$A$506,MATCH(L206,Example!$AI$7:$AI$506,0)))</f>
        <v/>
      </c>
      <c r="O206" s="34" t="str">
        <f aca="false">IF(L206&gt;$B$6,"",INDEX(Example!$AC$7:$AC$506,MATCH(L206,Example!$AI$7:$AI$506,0)))</f>
        <v/>
      </c>
      <c r="P206" s="35" t="str">
        <f aca="false">IF(L206&gt;$B$6,"",INDEX(Example!$AD$7:$AD$506,MATCH(L206,Example!$AI$7:$AI$506,0)))</f>
        <v/>
      </c>
      <c r="Q206" s="34" t="n">
        <f aca="false">IF(L206&gt;$B$6,Q205,Q205+O206)</f>
        <v>22057.5</v>
      </c>
      <c r="R206" s="34" t="str">
        <f aca="false">IF(L206&gt;$B$6,"",Q206-MAX($Q$5:Q206))</f>
        <v/>
      </c>
    </row>
    <row r="207" customFormat="false" ht="15" hidden="false" customHeight="false" outlineLevel="0" collapsed="false">
      <c r="L207" s="0" t="n">
        <v>202</v>
      </c>
      <c r="M207" s="37" t="str">
        <f aca="false">IF(L207&gt;$B$6,"",INDEX(Example!$P$7:$P$506,MATCH(L207,Example!$AI$7:$AI$506,0)))</f>
        <v/>
      </c>
      <c r="N207" s="0" t="str">
        <f aca="false">IF(L207&gt;$B$6,"",INDEX(Example!$A$7:$A$506,MATCH(L207,Example!$AI$7:$AI$506,0)))</f>
        <v/>
      </c>
      <c r="O207" s="34" t="str">
        <f aca="false">IF(L207&gt;$B$6,"",INDEX(Example!$AC$7:$AC$506,MATCH(L207,Example!$AI$7:$AI$506,0)))</f>
        <v/>
      </c>
      <c r="P207" s="35" t="str">
        <f aca="false">IF(L207&gt;$B$6,"",INDEX(Example!$AD$7:$AD$506,MATCH(L207,Example!$AI$7:$AI$506,0)))</f>
        <v/>
      </c>
      <c r="Q207" s="34" t="n">
        <f aca="false">IF(L207&gt;$B$6,Q206,Q206+O207)</f>
        <v>22057.5</v>
      </c>
      <c r="R207" s="34" t="str">
        <f aca="false">IF(L207&gt;$B$6,"",Q207-MAX($Q$5:Q207))</f>
        <v/>
      </c>
    </row>
    <row r="208" customFormat="false" ht="15" hidden="false" customHeight="false" outlineLevel="0" collapsed="false">
      <c r="L208" s="0" t="n">
        <v>203</v>
      </c>
      <c r="M208" s="37" t="str">
        <f aca="false">IF(L208&gt;$B$6,"",INDEX(Example!$P$7:$P$506,MATCH(L208,Example!$AI$7:$AI$506,0)))</f>
        <v/>
      </c>
      <c r="N208" s="0" t="str">
        <f aca="false">IF(L208&gt;$B$6,"",INDEX(Example!$A$7:$A$506,MATCH(L208,Example!$AI$7:$AI$506,0)))</f>
        <v/>
      </c>
      <c r="O208" s="34" t="str">
        <f aca="false">IF(L208&gt;$B$6,"",INDEX(Example!$AC$7:$AC$506,MATCH(L208,Example!$AI$7:$AI$506,0)))</f>
        <v/>
      </c>
      <c r="P208" s="35" t="str">
        <f aca="false">IF(L208&gt;$B$6,"",INDEX(Example!$AD$7:$AD$506,MATCH(L208,Example!$AI$7:$AI$506,0)))</f>
        <v/>
      </c>
      <c r="Q208" s="34" t="n">
        <f aca="false">IF(L208&gt;$B$6,Q207,Q207+O208)</f>
        <v>22057.5</v>
      </c>
      <c r="R208" s="34" t="str">
        <f aca="false">IF(L208&gt;$B$6,"",Q208-MAX($Q$5:Q208))</f>
        <v/>
      </c>
    </row>
    <row r="209" customFormat="false" ht="15" hidden="false" customHeight="false" outlineLevel="0" collapsed="false">
      <c r="L209" s="0" t="n">
        <v>204</v>
      </c>
      <c r="M209" s="37" t="str">
        <f aca="false">IF(L209&gt;$B$6,"",INDEX(Example!$P$7:$P$506,MATCH(L209,Example!$AI$7:$AI$506,0)))</f>
        <v/>
      </c>
      <c r="N209" s="0" t="str">
        <f aca="false">IF(L209&gt;$B$6,"",INDEX(Example!$A$7:$A$506,MATCH(L209,Example!$AI$7:$AI$506,0)))</f>
        <v/>
      </c>
      <c r="O209" s="34" t="str">
        <f aca="false">IF(L209&gt;$B$6,"",INDEX(Example!$AC$7:$AC$506,MATCH(L209,Example!$AI$7:$AI$506,0)))</f>
        <v/>
      </c>
      <c r="P209" s="35" t="str">
        <f aca="false">IF(L209&gt;$B$6,"",INDEX(Example!$AD$7:$AD$506,MATCH(L209,Example!$AI$7:$AI$506,0)))</f>
        <v/>
      </c>
      <c r="Q209" s="34" t="n">
        <f aca="false">IF(L209&gt;$B$6,Q208,Q208+O209)</f>
        <v>22057.5</v>
      </c>
      <c r="R209" s="34" t="str">
        <f aca="false">IF(L209&gt;$B$6,"",Q209-MAX($Q$5:Q209))</f>
        <v/>
      </c>
    </row>
    <row r="210" customFormat="false" ht="15" hidden="false" customHeight="false" outlineLevel="0" collapsed="false">
      <c r="L210" s="0" t="n">
        <v>205</v>
      </c>
      <c r="M210" s="37" t="str">
        <f aca="false">IF(L210&gt;$B$6,"",INDEX(Example!$P$7:$P$506,MATCH(L210,Example!$AI$7:$AI$506,0)))</f>
        <v/>
      </c>
      <c r="N210" s="0" t="str">
        <f aca="false">IF(L210&gt;$B$6,"",INDEX(Example!$A$7:$A$506,MATCH(L210,Example!$AI$7:$AI$506,0)))</f>
        <v/>
      </c>
      <c r="O210" s="34" t="str">
        <f aca="false">IF(L210&gt;$B$6,"",INDEX(Example!$AC$7:$AC$506,MATCH(L210,Example!$AI$7:$AI$506,0)))</f>
        <v/>
      </c>
      <c r="P210" s="35" t="str">
        <f aca="false">IF(L210&gt;$B$6,"",INDEX(Example!$AD$7:$AD$506,MATCH(L210,Example!$AI$7:$AI$506,0)))</f>
        <v/>
      </c>
      <c r="Q210" s="34" t="n">
        <f aca="false">IF(L210&gt;$B$6,Q209,Q209+O210)</f>
        <v>22057.5</v>
      </c>
      <c r="R210" s="34" t="str">
        <f aca="false">IF(L210&gt;$B$6,"",Q210-MAX($Q$5:Q210))</f>
        <v/>
      </c>
    </row>
    <row r="211" customFormat="false" ht="15" hidden="false" customHeight="false" outlineLevel="0" collapsed="false">
      <c r="L211" s="0" t="n">
        <v>206</v>
      </c>
      <c r="M211" s="37" t="str">
        <f aca="false">IF(L211&gt;$B$6,"",INDEX(Example!$P$7:$P$506,MATCH(L211,Example!$AI$7:$AI$506,0)))</f>
        <v/>
      </c>
      <c r="N211" s="0" t="str">
        <f aca="false">IF(L211&gt;$B$6,"",INDEX(Example!$A$7:$A$506,MATCH(L211,Example!$AI$7:$AI$506,0)))</f>
        <v/>
      </c>
      <c r="O211" s="34" t="str">
        <f aca="false">IF(L211&gt;$B$6,"",INDEX(Example!$AC$7:$AC$506,MATCH(L211,Example!$AI$7:$AI$506,0)))</f>
        <v/>
      </c>
      <c r="P211" s="35" t="str">
        <f aca="false">IF(L211&gt;$B$6,"",INDEX(Example!$AD$7:$AD$506,MATCH(L211,Example!$AI$7:$AI$506,0)))</f>
        <v/>
      </c>
      <c r="Q211" s="34" t="n">
        <f aca="false">IF(L211&gt;$B$6,Q210,Q210+O211)</f>
        <v>22057.5</v>
      </c>
      <c r="R211" s="34" t="str">
        <f aca="false">IF(L211&gt;$B$6,"",Q211-MAX($Q$5:Q211))</f>
        <v/>
      </c>
    </row>
    <row r="212" customFormat="false" ht="15" hidden="false" customHeight="false" outlineLevel="0" collapsed="false">
      <c r="L212" s="0" t="n">
        <v>207</v>
      </c>
      <c r="M212" s="37" t="str">
        <f aca="false">IF(L212&gt;$B$6,"",INDEX(Example!$P$7:$P$506,MATCH(L212,Example!$AI$7:$AI$506,0)))</f>
        <v/>
      </c>
      <c r="N212" s="0" t="str">
        <f aca="false">IF(L212&gt;$B$6,"",INDEX(Example!$A$7:$A$506,MATCH(L212,Example!$AI$7:$AI$506,0)))</f>
        <v/>
      </c>
      <c r="O212" s="34" t="str">
        <f aca="false">IF(L212&gt;$B$6,"",INDEX(Example!$AC$7:$AC$506,MATCH(L212,Example!$AI$7:$AI$506,0)))</f>
        <v/>
      </c>
      <c r="P212" s="35" t="str">
        <f aca="false">IF(L212&gt;$B$6,"",INDEX(Example!$AD$7:$AD$506,MATCH(L212,Example!$AI$7:$AI$506,0)))</f>
        <v/>
      </c>
      <c r="Q212" s="34" t="n">
        <f aca="false">IF(L212&gt;$B$6,Q211,Q211+O212)</f>
        <v>22057.5</v>
      </c>
      <c r="R212" s="34" t="str">
        <f aca="false">IF(L212&gt;$B$6,"",Q212-MAX($Q$5:Q212))</f>
        <v/>
      </c>
    </row>
    <row r="213" customFormat="false" ht="15" hidden="false" customHeight="false" outlineLevel="0" collapsed="false">
      <c r="L213" s="0" t="n">
        <v>208</v>
      </c>
      <c r="M213" s="37" t="str">
        <f aca="false">IF(L213&gt;$B$6,"",INDEX(Example!$P$7:$P$506,MATCH(L213,Example!$AI$7:$AI$506,0)))</f>
        <v/>
      </c>
      <c r="N213" s="0" t="str">
        <f aca="false">IF(L213&gt;$B$6,"",INDEX(Example!$A$7:$A$506,MATCH(L213,Example!$AI$7:$AI$506,0)))</f>
        <v/>
      </c>
      <c r="O213" s="34" t="str">
        <f aca="false">IF(L213&gt;$B$6,"",INDEX(Example!$AC$7:$AC$506,MATCH(L213,Example!$AI$7:$AI$506,0)))</f>
        <v/>
      </c>
      <c r="P213" s="35" t="str">
        <f aca="false">IF(L213&gt;$B$6,"",INDEX(Example!$AD$7:$AD$506,MATCH(L213,Example!$AI$7:$AI$506,0)))</f>
        <v/>
      </c>
      <c r="Q213" s="34" t="n">
        <f aca="false">IF(L213&gt;$B$6,Q212,Q212+O213)</f>
        <v>22057.5</v>
      </c>
      <c r="R213" s="34" t="str">
        <f aca="false">IF(L213&gt;$B$6,"",Q213-MAX($Q$5:Q213))</f>
        <v/>
      </c>
    </row>
    <row r="214" customFormat="false" ht="15" hidden="false" customHeight="false" outlineLevel="0" collapsed="false">
      <c r="L214" s="0" t="n">
        <v>209</v>
      </c>
      <c r="M214" s="37" t="str">
        <f aca="false">IF(L214&gt;$B$6,"",INDEX(Example!$P$7:$P$506,MATCH(L214,Example!$AI$7:$AI$506,0)))</f>
        <v/>
      </c>
      <c r="N214" s="0" t="str">
        <f aca="false">IF(L214&gt;$B$6,"",INDEX(Example!$A$7:$A$506,MATCH(L214,Example!$AI$7:$AI$506,0)))</f>
        <v/>
      </c>
      <c r="O214" s="34" t="str">
        <f aca="false">IF(L214&gt;$B$6,"",INDEX(Example!$AC$7:$AC$506,MATCH(L214,Example!$AI$7:$AI$506,0)))</f>
        <v/>
      </c>
      <c r="P214" s="35" t="str">
        <f aca="false">IF(L214&gt;$B$6,"",INDEX(Example!$AD$7:$AD$506,MATCH(L214,Example!$AI$7:$AI$506,0)))</f>
        <v/>
      </c>
      <c r="Q214" s="34" t="n">
        <f aca="false">IF(L214&gt;$B$6,Q213,Q213+O214)</f>
        <v>22057.5</v>
      </c>
      <c r="R214" s="34" t="str">
        <f aca="false">IF(L214&gt;$B$6,"",Q214-MAX($Q$5:Q214))</f>
        <v/>
      </c>
    </row>
    <row r="215" customFormat="false" ht="15" hidden="false" customHeight="false" outlineLevel="0" collapsed="false">
      <c r="L215" s="0" t="n">
        <v>210</v>
      </c>
      <c r="M215" s="37" t="str">
        <f aca="false">IF(L215&gt;$B$6,"",INDEX(Example!$P$7:$P$506,MATCH(L215,Example!$AI$7:$AI$506,0)))</f>
        <v/>
      </c>
      <c r="N215" s="0" t="str">
        <f aca="false">IF(L215&gt;$B$6,"",INDEX(Example!$A$7:$A$506,MATCH(L215,Example!$AI$7:$AI$506,0)))</f>
        <v/>
      </c>
      <c r="O215" s="34" t="str">
        <f aca="false">IF(L215&gt;$B$6,"",INDEX(Example!$AC$7:$AC$506,MATCH(L215,Example!$AI$7:$AI$506,0)))</f>
        <v/>
      </c>
      <c r="P215" s="35" t="str">
        <f aca="false">IF(L215&gt;$B$6,"",INDEX(Example!$AD$7:$AD$506,MATCH(L215,Example!$AI$7:$AI$506,0)))</f>
        <v/>
      </c>
      <c r="Q215" s="34" t="n">
        <f aca="false">IF(L215&gt;$B$6,Q214,Q214+O215)</f>
        <v>22057.5</v>
      </c>
      <c r="R215" s="34" t="str">
        <f aca="false">IF(L215&gt;$B$6,"",Q215-MAX($Q$5:Q215))</f>
        <v/>
      </c>
    </row>
    <row r="216" customFormat="false" ht="15" hidden="false" customHeight="false" outlineLevel="0" collapsed="false">
      <c r="L216" s="0" t="n">
        <v>211</v>
      </c>
      <c r="M216" s="37" t="str">
        <f aca="false">IF(L216&gt;$B$6,"",INDEX(Example!$P$7:$P$506,MATCH(L216,Example!$AI$7:$AI$506,0)))</f>
        <v/>
      </c>
      <c r="N216" s="0" t="str">
        <f aca="false">IF(L216&gt;$B$6,"",INDEX(Example!$A$7:$A$506,MATCH(L216,Example!$AI$7:$AI$506,0)))</f>
        <v/>
      </c>
      <c r="O216" s="34" t="str">
        <f aca="false">IF(L216&gt;$B$6,"",INDEX(Example!$AC$7:$AC$506,MATCH(L216,Example!$AI$7:$AI$506,0)))</f>
        <v/>
      </c>
      <c r="P216" s="35" t="str">
        <f aca="false">IF(L216&gt;$B$6,"",INDEX(Example!$AD$7:$AD$506,MATCH(L216,Example!$AI$7:$AI$506,0)))</f>
        <v/>
      </c>
      <c r="Q216" s="34" t="n">
        <f aca="false">IF(L216&gt;$B$6,Q215,Q215+O216)</f>
        <v>22057.5</v>
      </c>
      <c r="R216" s="34" t="str">
        <f aca="false">IF(L216&gt;$B$6,"",Q216-MAX($Q$5:Q216))</f>
        <v/>
      </c>
    </row>
    <row r="217" customFormat="false" ht="15" hidden="false" customHeight="false" outlineLevel="0" collapsed="false">
      <c r="L217" s="0" t="n">
        <v>212</v>
      </c>
      <c r="M217" s="37" t="str">
        <f aca="false">IF(L217&gt;$B$6,"",INDEX(Example!$P$7:$P$506,MATCH(L217,Example!$AI$7:$AI$506,0)))</f>
        <v/>
      </c>
      <c r="N217" s="0" t="str">
        <f aca="false">IF(L217&gt;$B$6,"",INDEX(Example!$A$7:$A$506,MATCH(L217,Example!$AI$7:$AI$506,0)))</f>
        <v/>
      </c>
      <c r="O217" s="34" t="str">
        <f aca="false">IF(L217&gt;$B$6,"",INDEX(Example!$AC$7:$AC$506,MATCH(L217,Example!$AI$7:$AI$506,0)))</f>
        <v/>
      </c>
      <c r="P217" s="35" t="str">
        <f aca="false">IF(L217&gt;$B$6,"",INDEX(Example!$AD$7:$AD$506,MATCH(L217,Example!$AI$7:$AI$506,0)))</f>
        <v/>
      </c>
      <c r="Q217" s="34" t="n">
        <f aca="false">IF(L217&gt;$B$6,Q216,Q216+O217)</f>
        <v>22057.5</v>
      </c>
      <c r="R217" s="34" t="str">
        <f aca="false">IF(L217&gt;$B$6,"",Q217-MAX($Q$5:Q217))</f>
        <v/>
      </c>
    </row>
    <row r="218" customFormat="false" ht="15" hidden="false" customHeight="false" outlineLevel="0" collapsed="false">
      <c r="L218" s="0" t="n">
        <v>213</v>
      </c>
      <c r="M218" s="37" t="str">
        <f aca="false">IF(L218&gt;$B$6,"",INDEX(Example!$P$7:$P$506,MATCH(L218,Example!$AI$7:$AI$506,0)))</f>
        <v/>
      </c>
      <c r="N218" s="0" t="str">
        <f aca="false">IF(L218&gt;$B$6,"",INDEX(Example!$A$7:$A$506,MATCH(L218,Example!$AI$7:$AI$506,0)))</f>
        <v/>
      </c>
      <c r="O218" s="34" t="str">
        <f aca="false">IF(L218&gt;$B$6,"",INDEX(Example!$AC$7:$AC$506,MATCH(L218,Example!$AI$7:$AI$506,0)))</f>
        <v/>
      </c>
      <c r="P218" s="35" t="str">
        <f aca="false">IF(L218&gt;$B$6,"",INDEX(Example!$AD$7:$AD$506,MATCH(L218,Example!$AI$7:$AI$506,0)))</f>
        <v/>
      </c>
      <c r="Q218" s="34" t="n">
        <f aca="false">IF(L218&gt;$B$6,Q217,Q217+O218)</f>
        <v>22057.5</v>
      </c>
      <c r="R218" s="34" t="str">
        <f aca="false">IF(L218&gt;$B$6,"",Q218-MAX($Q$5:Q218))</f>
        <v/>
      </c>
    </row>
    <row r="219" customFormat="false" ht="15" hidden="false" customHeight="false" outlineLevel="0" collapsed="false">
      <c r="L219" s="0" t="n">
        <v>214</v>
      </c>
      <c r="M219" s="37" t="str">
        <f aca="false">IF(L219&gt;$B$6,"",INDEX(Example!$P$7:$P$506,MATCH(L219,Example!$AI$7:$AI$506,0)))</f>
        <v/>
      </c>
      <c r="N219" s="0" t="str">
        <f aca="false">IF(L219&gt;$B$6,"",INDEX(Example!$A$7:$A$506,MATCH(L219,Example!$AI$7:$AI$506,0)))</f>
        <v/>
      </c>
      <c r="O219" s="34" t="str">
        <f aca="false">IF(L219&gt;$B$6,"",INDEX(Example!$AC$7:$AC$506,MATCH(L219,Example!$AI$7:$AI$506,0)))</f>
        <v/>
      </c>
      <c r="P219" s="35" t="str">
        <f aca="false">IF(L219&gt;$B$6,"",INDEX(Example!$AD$7:$AD$506,MATCH(L219,Example!$AI$7:$AI$506,0)))</f>
        <v/>
      </c>
      <c r="Q219" s="34" t="n">
        <f aca="false">IF(L219&gt;$B$6,Q218,Q218+O219)</f>
        <v>22057.5</v>
      </c>
      <c r="R219" s="34" t="str">
        <f aca="false">IF(L219&gt;$B$6,"",Q219-MAX($Q$5:Q219))</f>
        <v/>
      </c>
    </row>
    <row r="220" customFormat="false" ht="15" hidden="false" customHeight="false" outlineLevel="0" collapsed="false">
      <c r="L220" s="0" t="n">
        <v>215</v>
      </c>
      <c r="M220" s="37" t="str">
        <f aca="false">IF(L220&gt;$B$6,"",INDEX(Example!$P$7:$P$506,MATCH(L220,Example!$AI$7:$AI$506,0)))</f>
        <v/>
      </c>
      <c r="N220" s="0" t="str">
        <f aca="false">IF(L220&gt;$B$6,"",INDEX(Example!$A$7:$A$506,MATCH(L220,Example!$AI$7:$AI$506,0)))</f>
        <v/>
      </c>
      <c r="O220" s="34" t="str">
        <f aca="false">IF(L220&gt;$B$6,"",INDEX(Example!$AC$7:$AC$506,MATCH(L220,Example!$AI$7:$AI$506,0)))</f>
        <v/>
      </c>
      <c r="P220" s="35" t="str">
        <f aca="false">IF(L220&gt;$B$6,"",INDEX(Example!$AD$7:$AD$506,MATCH(L220,Example!$AI$7:$AI$506,0)))</f>
        <v/>
      </c>
      <c r="Q220" s="34" t="n">
        <f aca="false">IF(L220&gt;$B$6,Q219,Q219+O220)</f>
        <v>22057.5</v>
      </c>
      <c r="R220" s="34" t="str">
        <f aca="false">IF(L220&gt;$B$6,"",Q220-MAX($Q$5:Q220))</f>
        <v/>
      </c>
    </row>
    <row r="221" customFormat="false" ht="15" hidden="false" customHeight="false" outlineLevel="0" collapsed="false">
      <c r="L221" s="0" t="n">
        <v>216</v>
      </c>
      <c r="M221" s="37" t="str">
        <f aca="false">IF(L221&gt;$B$6,"",INDEX(Example!$P$7:$P$506,MATCH(L221,Example!$AI$7:$AI$506,0)))</f>
        <v/>
      </c>
      <c r="N221" s="0" t="str">
        <f aca="false">IF(L221&gt;$B$6,"",INDEX(Example!$A$7:$A$506,MATCH(L221,Example!$AI$7:$AI$506,0)))</f>
        <v/>
      </c>
      <c r="O221" s="34" t="str">
        <f aca="false">IF(L221&gt;$B$6,"",INDEX(Example!$AC$7:$AC$506,MATCH(L221,Example!$AI$7:$AI$506,0)))</f>
        <v/>
      </c>
      <c r="P221" s="35" t="str">
        <f aca="false">IF(L221&gt;$B$6,"",INDEX(Example!$AD$7:$AD$506,MATCH(L221,Example!$AI$7:$AI$506,0)))</f>
        <v/>
      </c>
      <c r="Q221" s="34" t="n">
        <f aca="false">IF(L221&gt;$B$6,Q220,Q220+O221)</f>
        <v>22057.5</v>
      </c>
      <c r="R221" s="34" t="str">
        <f aca="false">IF(L221&gt;$B$6,"",Q221-MAX($Q$5:Q221))</f>
        <v/>
      </c>
    </row>
    <row r="222" customFormat="false" ht="15" hidden="false" customHeight="false" outlineLevel="0" collapsed="false">
      <c r="L222" s="0" t="n">
        <v>217</v>
      </c>
      <c r="M222" s="37" t="str">
        <f aca="false">IF(L222&gt;$B$6,"",INDEX(Example!$P$7:$P$506,MATCH(L222,Example!$AI$7:$AI$506,0)))</f>
        <v/>
      </c>
      <c r="N222" s="0" t="str">
        <f aca="false">IF(L222&gt;$B$6,"",INDEX(Example!$A$7:$A$506,MATCH(L222,Example!$AI$7:$AI$506,0)))</f>
        <v/>
      </c>
      <c r="O222" s="34" t="str">
        <f aca="false">IF(L222&gt;$B$6,"",INDEX(Example!$AC$7:$AC$506,MATCH(L222,Example!$AI$7:$AI$506,0)))</f>
        <v/>
      </c>
      <c r="P222" s="35" t="str">
        <f aca="false">IF(L222&gt;$B$6,"",INDEX(Example!$AD$7:$AD$506,MATCH(L222,Example!$AI$7:$AI$506,0)))</f>
        <v/>
      </c>
      <c r="Q222" s="34" t="n">
        <f aca="false">IF(L222&gt;$B$6,Q221,Q221+O222)</f>
        <v>22057.5</v>
      </c>
      <c r="R222" s="34" t="str">
        <f aca="false">IF(L222&gt;$B$6,"",Q222-MAX($Q$5:Q222))</f>
        <v/>
      </c>
    </row>
    <row r="223" customFormat="false" ht="15" hidden="false" customHeight="false" outlineLevel="0" collapsed="false">
      <c r="L223" s="0" t="n">
        <v>218</v>
      </c>
      <c r="M223" s="37" t="str">
        <f aca="false">IF(L223&gt;$B$6,"",INDEX(Example!$P$7:$P$506,MATCH(L223,Example!$AI$7:$AI$506,0)))</f>
        <v/>
      </c>
      <c r="N223" s="0" t="str">
        <f aca="false">IF(L223&gt;$B$6,"",INDEX(Example!$A$7:$A$506,MATCH(L223,Example!$AI$7:$AI$506,0)))</f>
        <v/>
      </c>
      <c r="O223" s="34" t="str">
        <f aca="false">IF(L223&gt;$B$6,"",INDEX(Example!$AC$7:$AC$506,MATCH(L223,Example!$AI$7:$AI$506,0)))</f>
        <v/>
      </c>
      <c r="P223" s="35" t="str">
        <f aca="false">IF(L223&gt;$B$6,"",INDEX(Example!$AD$7:$AD$506,MATCH(L223,Example!$AI$7:$AI$506,0)))</f>
        <v/>
      </c>
      <c r="Q223" s="34" t="n">
        <f aca="false">IF(L223&gt;$B$6,Q222,Q222+O223)</f>
        <v>22057.5</v>
      </c>
      <c r="R223" s="34" t="str">
        <f aca="false">IF(L223&gt;$B$6,"",Q223-MAX($Q$5:Q223))</f>
        <v/>
      </c>
    </row>
    <row r="224" customFormat="false" ht="15" hidden="false" customHeight="false" outlineLevel="0" collapsed="false">
      <c r="L224" s="0" t="n">
        <v>219</v>
      </c>
      <c r="M224" s="37" t="str">
        <f aca="false">IF(L224&gt;$B$6,"",INDEX(Example!$P$7:$P$506,MATCH(L224,Example!$AI$7:$AI$506,0)))</f>
        <v/>
      </c>
      <c r="N224" s="0" t="str">
        <f aca="false">IF(L224&gt;$B$6,"",INDEX(Example!$A$7:$A$506,MATCH(L224,Example!$AI$7:$AI$506,0)))</f>
        <v/>
      </c>
      <c r="O224" s="34" t="str">
        <f aca="false">IF(L224&gt;$B$6,"",INDEX(Example!$AC$7:$AC$506,MATCH(L224,Example!$AI$7:$AI$506,0)))</f>
        <v/>
      </c>
      <c r="P224" s="35" t="str">
        <f aca="false">IF(L224&gt;$B$6,"",INDEX(Example!$AD$7:$AD$506,MATCH(L224,Example!$AI$7:$AI$506,0)))</f>
        <v/>
      </c>
      <c r="Q224" s="34" t="n">
        <f aca="false">IF(L224&gt;$B$6,Q223,Q223+O224)</f>
        <v>22057.5</v>
      </c>
      <c r="R224" s="34" t="str">
        <f aca="false">IF(L224&gt;$B$6,"",Q224-MAX($Q$5:Q224))</f>
        <v/>
      </c>
    </row>
    <row r="225" customFormat="false" ht="15" hidden="false" customHeight="false" outlineLevel="0" collapsed="false">
      <c r="L225" s="0" t="n">
        <v>220</v>
      </c>
      <c r="M225" s="37" t="str">
        <f aca="false">IF(L225&gt;$B$6,"",INDEX(Example!$P$7:$P$506,MATCH(L225,Example!$AI$7:$AI$506,0)))</f>
        <v/>
      </c>
      <c r="N225" s="0" t="str">
        <f aca="false">IF(L225&gt;$B$6,"",INDEX(Example!$A$7:$A$506,MATCH(L225,Example!$AI$7:$AI$506,0)))</f>
        <v/>
      </c>
      <c r="O225" s="34" t="str">
        <f aca="false">IF(L225&gt;$B$6,"",INDEX(Example!$AC$7:$AC$506,MATCH(L225,Example!$AI$7:$AI$506,0)))</f>
        <v/>
      </c>
      <c r="P225" s="35" t="str">
        <f aca="false">IF(L225&gt;$B$6,"",INDEX(Example!$AD$7:$AD$506,MATCH(L225,Example!$AI$7:$AI$506,0)))</f>
        <v/>
      </c>
      <c r="Q225" s="34" t="n">
        <f aca="false">IF(L225&gt;$B$6,Q224,Q224+O225)</f>
        <v>22057.5</v>
      </c>
      <c r="R225" s="34" t="str">
        <f aca="false">IF(L225&gt;$B$6,"",Q225-MAX($Q$5:Q225))</f>
        <v/>
      </c>
    </row>
    <row r="226" customFormat="false" ht="15" hidden="false" customHeight="false" outlineLevel="0" collapsed="false">
      <c r="L226" s="0" t="n">
        <v>221</v>
      </c>
      <c r="M226" s="37" t="str">
        <f aca="false">IF(L226&gt;$B$6,"",INDEX(Example!$P$7:$P$506,MATCH(L226,Example!$AI$7:$AI$506,0)))</f>
        <v/>
      </c>
      <c r="N226" s="0" t="str">
        <f aca="false">IF(L226&gt;$B$6,"",INDEX(Example!$A$7:$A$506,MATCH(L226,Example!$AI$7:$AI$506,0)))</f>
        <v/>
      </c>
      <c r="O226" s="34" t="str">
        <f aca="false">IF(L226&gt;$B$6,"",INDEX(Example!$AC$7:$AC$506,MATCH(L226,Example!$AI$7:$AI$506,0)))</f>
        <v/>
      </c>
      <c r="P226" s="35" t="str">
        <f aca="false">IF(L226&gt;$B$6,"",INDEX(Example!$AD$7:$AD$506,MATCH(L226,Example!$AI$7:$AI$506,0)))</f>
        <v/>
      </c>
      <c r="Q226" s="34" t="n">
        <f aca="false">IF(L226&gt;$B$6,Q225,Q225+O226)</f>
        <v>22057.5</v>
      </c>
      <c r="R226" s="34" t="str">
        <f aca="false">IF(L226&gt;$B$6,"",Q226-MAX($Q$5:Q226))</f>
        <v/>
      </c>
    </row>
    <row r="227" customFormat="false" ht="15" hidden="false" customHeight="false" outlineLevel="0" collapsed="false">
      <c r="L227" s="0" t="n">
        <v>222</v>
      </c>
      <c r="M227" s="37" t="str">
        <f aca="false">IF(L227&gt;$B$6,"",INDEX(Example!$P$7:$P$506,MATCH(L227,Example!$AI$7:$AI$506,0)))</f>
        <v/>
      </c>
      <c r="N227" s="0" t="str">
        <f aca="false">IF(L227&gt;$B$6,"",INDEX(Example!$A$7:$A$506,MATCH(L227,Example!$AI$7:$AI$506,0)))</f>
        <v/>
      </c>
      <c r="O227" s="34" t="str">
        <f aca="false">IF(L227&gt;$B$6,"",INDEX(Example!$AC$7:$AC$506,MATCH(L227,Example!$AI$7:$AI$506,0)))</f>
        <v/>
      </c>
      <c r="P227" s="35" t="str">
        <f aca="false">IF(L227&gt;$B$6,"",INDEX(Example!$AD$7:$AD$506,MATCH(L227,Example!$AI$7:$AI$506,0)))</f>
        <v/>
      </c>
      <c r="Q227" s="34" t="n">
        <f aca="false">IF(L227&gt;$B$6,Q226,Q226+O227)</f>
        <v>22057.5</v>
      </c>
      <c r="R227" s="34" t="str">
        <f aca="false">IF(L227&gt;$B$6,"",Q227-MAX($Q$5:Q227))</f>
        <v/>
      </c>
    </row>
    <row r="228" customFormat="false" ht="15" hidden="false" customHeight="false" outlineLevel="0" collapsed="false">
      <c r="L228" s="0" t="n">
        <v>223</v>
      </c>
      <c r="M228" s="37" t="str">
        <f aca="false">IF(L228&gt;$B$6,"",INDEX(Example!$P$7:$P$506,MATCH(L228,Example!$AI$7:$AI$506,0)))</f>
        <v/>
      </c>
      <c r="N228" s="0" t="str">
        <f aca="false">IF(L228&gt;$B$6,"",INDEX(Example!$A$7:$A$506,MATCH(L228,Example!$AI$7:$AI$506,0)))</f>
        <v/>
      </c>
      <c r="O228" s="34" t="str">
        <f aca="false">IF(L228&gt;$B$6,"",INDEX(Example!$AC$7:$AC$506,MATCH(L228,Example!$AI$7:$AI$506,0)))</f>
        <v/>
      </c>
      <c r="P228" s="35" t="str">
        <f aca="false">IF(L228&gt;$B$6,"",INDEX(Example!$AD$7:$AD$506,MATCH(L228,Example!$AI$7:$AI$506,0)))</f>
        <v/>
      </c>
      <c r="Q228" s="34" t="n">
        <f aca="false">IF(L228&gt;$B$6,Q227,Q227+O228)</f>
        <v>22057.5</v>
      </c>
      <c r="R228" s="34" t="str">
        <f aca="false">IF(L228&gt;$B$6,"",Q228-MAX($Q$5:Q228))</f>
        <v/>
      </c>
    </row>
    <row r="229" customFormat="false" ht="15" hidden="false" customHeight="false" outlineLevel="0" collapsed="false">
      <c r="L229" s="0" t="n">
        <v>224</v>
      </c>
      <c r="M229" s="37" t="str">
        <f aca="false">IF(L229&gt;$B$6,"",INDEX(Example!$P$7:$P$506,MATCH(L229,Example!$AI$7:$AI$506,0)))</f>
        <v/>
      </c>
      <c r="N229" s="0" t="str">
        <f aca="false">IF(L229&gt;$B$6,"",INDEX(Example!$A$7:$A$506,MATCH(L229,Example!$AI$7:$AI$506,0)))</f>
        <v/>
      </c>
      <c r="O229" s="34" t="str">
        <f aca="false">IF(L229&gt;$B$6,"",INDEX(Example!$AC$7:$AC$506,MATCH(L229,Example!$AI$7:$AI$506,0)))</f>
        <v/>
      </c>
      <c r="P229" s="35" t="str">
        <f aca="false">IF(L229&gt;$B$6,"",INDEX(Example!$AD$7:$AD$506,MATCH(L229,Example!$AI$7:$AI$506,0)))</f>
        <v/>
      </c>
      <c r="Q229" s="34" t="n">
        <f aca="false">IF(L229&gt;$B$6,Q228,Q228+O229)</f>
        <v>22057.5</v>
      </c>
      <c r="R229" s="34" t="str">
        <f aca="false">IF(L229&gt;$B$6,"",Q229-MAX($Q$5:Q229))</f>
        <v/>
      </c>
    </row>
    <row r="230" customFormat="false" ht="15" hidden="false" customHeight="false" outlineLevel="0" collapsed="false">
      <c r="L230" s="0" t="n">
        <v>225</v>
      </c>
      <c r="M230" s="37" t="str">
        <f aca="false">IF(L230&gt;$B$6,"",INDEX(Example!$P$7:$P$506,MATCH(L230,Example!$AI$7:$AI$506,0)))</f>
        <v/>
      </c>
      <c r="N230" s="0" t="str">
        <f aca="false">IF(L230&gt;$B$6,"",INDEX(Example!$A$7:$A$506,MATCH(L230,Example!$AI$7:$AI$506,0)))</f>
        <v/>
      </c>
      <c r="O230" s="34" t="str">
        <f aca="false">IF(L230&gt;$B$6,"",INDEX(Example!$AC$7:$AC$506,MATCH(L230,Example!$AI$7:$AI$506,0)))</f>
        <v/>
      </c>
      <c r="P230" s="35" t="str">
        <f aca="false">IF(L230&gt;$B$6,"",INDEX(Example!$AD$7:$AD$506,MATCH(L230,Example!$AI$7:$AI$506,0)))</f>
        <v/>
      </c>
      <c r="Q230" s="34" t="n">
        <f aca="false">IF(L230&gt;$B$6,Q229,Q229+O230)</f>
        <v>22057.5</v>
      </c>
      <c r="R230" s="34" t="str">
        <f aca="false">IF(L230&gt;$B$6,"",Q230-MAX($Q$5:Q230))</f>
        <v/>
      </c>
    </row>
    <row r="231" customFormat="false" ht="15" hidden="false" customHeight="false" outlineLevel="0" collapsed="false">
      <c r="L231" s="0" t="n">
        <v>226</v>
      </c>
      <c r="M231" s="37" t="str">
        <f aca="false">IF(L231&gt;$B$6,"",INDEX(Example!$P$7:$P$506,MATCH(L231,Example!$AI$7:$AI$506,0)))</f>
        <v/>
      </c>
      <c r="N231" s="0" t="str">
        <f aca="false">IF(L231&gt;$B$6,"",INDEX(Example!$A$7:$A$506,MATCH(L231,Example!$AI$7:$AI$506,0)))</f>
        <v/>
      </c>
      <c r="O231" s="34" t="str">
        <f aca="false">IF(L231&gt;$B$6,"",INDEX(Example!$AC$7:$AC$506,MATCH(L231,Example!$AI$7:$AI$506,0)))</f>
        <v/>
      </c>
      <c r="P231" s="35" t="str">
        <f aca="false">IF(L231&gt;$B$6,"",INDEX(Example!$AD$7:$AD$506,MATCH(L231,Example!$AI$7:$AI$506,0)))</f>
        <v/>
      </c>
      <c r="Q231" s="34" t="n">
        <f aca="false">IF(L231&gt;$B$6,Q230,Q230+O231)</f>
        <v>22057.5</v>
      </c>
      <c r="R231" s="34" t="str">
        <f aca="false">IF(L231&gt;$B$6,"",Q231-MAX($Q$5:Q231))</f>
        <v/>
      </c>
    </row>
    <row r="232" customFormat="false" ht="15" hidden="false" customHeight="false" outlineLevel="0" collapsed="false">
      <c r="L232" s="0" t="n">
        <v>227</v>
      </c>
      <c r="M232" s="37" t="str">
        <f aca="false">IF(L232&gt;$B$6,"",INDEX(Example!$P$7:$P$506,MATCH(L232,Example!$AI$7:$AI$506,0)))</f>
        <v/>
      </c>
      <c r="N232" s="0" t="str">
        <f aca="false">IF(L232&gt;$B$6,"",INDEX(Example!$A$7:$A$506,MATCH(L232,Example!$AI$7:$AI$506,0)))</f>
        <v/>
      </c>
      <c r="O232" s="34" t="str">
        <f aca="false">IF(L232&gt;$B$6,"",INDEX(Example!$AC$7:$AC$506,MATCH(L232,Example!$AI$7:$AI$506,0)))</f>
        <v/>
      </c>
      <c r="P232" s="35" t="str">
        <f aca="false">IF(L232&gt;$B$6,"",INDEX(Example!$AD$7:$AD$506,MATCH(L232,Example!$AI$7:$AI$506,0)))</f>
        <v/>
      </c>
      <c r="Q232" s="34" t="n">
        <f aca="false">IF(L232&gt;$B$6,Q231,Q231+O232)</f>
        <v>22057.5</v>
      </c>
      <c r="R232" s="34" t="str">
        <f aca="false">IF(L232&gt;$B$6,"",Q232-MAX($Q$5:Q232))</f>
        <v/>
      </c>
    </row>
    <row r="233" customFormat="false" ht="15" hidden="false" customHeight="false" outlineLevel="0" collapsed="false">
      <c r="L233" s="0" t="n">
        <v>228</v>
      </c>
      <c r="M233" s="37" t="str">
        <f aca="false">IF(L233&gt;$B$6,"",INDEX(Example!$P$7:$P$506,MATCH(L233,Example!$AI$7:$AI$506,0)))</f>
        <v/>
      </c>
      <c r="N233" s="0" t="str">
        <f aca="false">IF(L233&gt;$B$6,"",INDEX(Example!$A$7:$A$506,MATCH(L233,Example!$AI$7:$AI$506,0)))</f>
        <v/>
      </c>
      <c r="O233" s="34" t="str">
        <f aca="false">IF(L233&gt;$B$6,"",INDEX(Example!$AC$7:$AC$506,MATCH(L233,Example!$AI$7:$AI$506,0)))</f>
        <v/>
      </c>
      <c r="P233" s="35" t="str">
        <f aca="false">IF(L233&gt;$B$6,"",INDEX(Example!$AD$7:$AD$506,MATCH(L233,Example!$AI$7:$AI$506,0)))</f>
        <v/>
      </c>
      <c r="Q233" s="34" t="n">
        <f aca="false">IF(L233&gt;$B$6,Q232,Q232+O233)</f>
        <v>22057.5</v>
      </c>
      <c r="R233" s="34" t="str">
        <f aca="false">IF(L233&gt;$B$6,"",Q233-MAX($Q$5:Q233))</f>
        <v/>
      </c>
    </row>
    <row r="234" customFormat="false" ht="15" hidden="false" customHeight="false" outlineLevel="0" collapsed="false">
      <c r="L234" s="0" t="n">
        <v>229</v>
      </c>
      <c r="M234" s="37" t="str">
        <f aca="false">IF(L234&gt;$B$6,"",INDEX(Example!$P$7:$P$506,MATCH(L234,Example!$AI$7:$AI$506,0)))</f>
        <v/>
      </c>
      <c r="N234" s="0" t="str">
        <f aca="false">IF(L234&gt;$B$6,"",INDEX(Example!$A$7:$A$506,MATCH(L234,Example!$AI$7:$AI$506,0)))</f>
        <v/>
      </c>
      <c r="O234" s="34" t="str">
        <f aca="false">IF(L234&gt;$B$6,"",INDEX(Example!$AC$7:$AC$506,MATCH(L234,Example!$AI$7:$AI$506,0)))</f>
        <v/>
      </c>
      <c r="P234" s="35" t="str">
        <f aca="false">IF(L234&gt;$B$6,"",INDEX(Example!$AD$7:$AD$506,MATCH(L234,Example!$AI$7:$AI$506,0)))</f>
        <v/>
      </c>
      <c r="Q234" s="34" t="n">
        <f aca="false">IF(L234&gt;$B$6,Q233,Q233+O234)</f>
        <v>22057.5</v>
      </c>
      <c r="R234" s="34" t="str">
        <f aca="false">IF(L234&gt;$B$6,"",Q234-MAX($Q$5:Q234))</f>
        <v/>
      </c>
    </row>
    <row r="235" customFormat="false" ht="15" hidden="false" customHeight="false" outlineLevel="0" collapsed="false">
      <c r="L235" s="0" t="n">
        <v>230</v>
      </c>
      <c r="M235" s="37" t="str">
        <f aca="false">IF(L235&gt;$B$6,"",INDEX(Example!$P$7:$P$506,MATCH(L235,Example!$AI$7:$AI$506,0)))</f>
        <v/>
      </c>
      <c r="N235" s="0" t="str">
        <f aca="false">IF(L235&gt;$B$6,"",INDEX(Example!$A$7:$A$506,MATCH(L235,Example!$AI$7:$AI$506,0)))</f>
        <v/>
      </c>
      <c r="O235" s="34" t="str">
        <f aca="false">IF(L235&gt;$B$6,"",INDEX(Example!$AC$7:$AC$506,MATCH(L235,Example!$AI$7:$AI$506,0)))</f>
        <v/>
      </c>
      <c r="P235" s="35" t="str">
        <f aca="false">IF(L235&gt;$B$6,"",INDEX(Example!$AD$7:$AD$506,MATCH(L235,Example!$AI$7:$AI$506,0)))</f>
        <v/>
      </c>
      <c r="Q235" s="34" t="n">
        <f aca="false">IF(L235&gt;$B$6,Q234,Q234+O235)</f>
        <v>22057.5</v>
      </c>
      <c r="R235" s="34" t="str">
        <f aca="false">IF(L235&gt;$B$6,"",Q235-MAX($Q$5:Q235))</f>
        <v/>
      </c>
    </row>
    <row r="236" customFormat="false" ht="15" hidden="false" customHeight="false" outlineLevel="0" collapsed="false">
      <c r="L236" s="0" t="n">
        <v>231</v>
      </c>
      <c r="M236" s="37" t="str">
        <f aca="false">IF(L236&gt;$B$6,"",INDEX(Example!$P$7:$P$506,MATCH(L236,Example!$AI$7:$AI$506,0)))</f>
        <v/>
      </c>
      <c r="N236" s="0" t="str">
        <f aca="false">IF(L236&gt;$B$6,"",INDEX(Example!$A$7:$A$506,MATCH(L236,Example!$AI$7:$AI$506,0)))</f>
        <v/>
      </c>
      <c r="O236" s="34" t="str">
        <f aca="false">IF(L236&gt;$B$6,"",INDEX(Example!$AC$7:$AC$506,MATCH(L236,Example!$AI$7:$AI$506,0)))</f>
        <v/>
      </c>
      <c r="P236" s="35" t="str">
        <f aca="false">IF(L236&gt;$B$6,"",INDEX(Example!$AD$7:$AD$506,MATCH(L236,Example!$AI$7:$AI$506,0)))</f>
        <v/>
      </c>
      <c r="Q236" s="34" t="n">
        <f aca="false">IF(L236&gt;$B$6,Q235,Q235+O236)</f>
        <v>22057.5</v>
      </c>
      <c r="R236" s="34" t="str">
        <f aca="false">IF(L236&gt;$B$6,"",Q236-MAX($Q$5:Q236))</f>
        <v/>
      </c>
    </row>
    <row r="237" customFormat="false" ht="15" hidden="false" customHeight="false" outlineLevel="0" collapsed="false">
      <c r="L237" s="0" t="n">
        <v>232</v>
      </c>
      <c r="M237" s="37" t="str">
        <f aca="false">IF(L237&gt;$B$6,"",INDEX(Example!$P$7:$P$506,MATCH(L237,Example!$AI$7:$AI$506,0)))</f>
        <v/>
      </c>
      <c r="N237" s="0" t="str">
        <f aca="false">IF(L237&gt;$B$6,"",INDEX(Example!$A$7:$A$506,MATCH(L237,Example!$AI$7:$AI$506,0)))</f>
        <v/>
      </c>
      <c r="O237" s="34" t="str">
        <f aca="false">IF(L237&gt;$B$6,"",INDEX(Example!$AC$7:$AC$506,MATCH(L237,Example!$AI$7:$AI$506,0)))</f>
        <v/>
      </c>
      <c r="P237" s="35" t="str">
        <f aca="false">IF(L237&gt;$B$6,"",INDEX(Example!$AD$7:$AD$506,MATCH(L237,Example!$AI$7:$AI$506,0)))</f>
        <v/>
      </c>
      <c r="Q237" s="34" t="n">
        <f aca="false">IF(L237&gt;$B$6,Q236,Q236+O237)</f>
        <v>22057.5</v>
      </c>
      <c r="R237" s="34" t="str">
        <f aca="false">IF(L237&gt;$B$6,"",Q237-MAX($Q$5:Q237))</f>
        <v/>
      </c>
    </row>
    <row r="238" customFormat="false" ht="15" hidden="false" customHeight="false" outlineLevel="0" collapsed="false">
      <c r="L238" s="0" t="n">
        <v>233</v>
      </c>
      <c r="M238" s="37" t="str">
        <f aca="false">IF(L238&gt;$B$6,"",INDEX(Example!$P$7:$P$506,MATCH(L238,Example!$AI$7:$AI$506,0)))</f>
        <v/>
      </c>
      <c r="N238" s="0" t="str">
        <f aca="false">IF(L238&gt;$B$6,"",INDEX(Example!$A$7:$A$506,MATCH(L238,Example!$AI$7:$AI$506,0)))</f>
        <v/>
      </c>
      <c r="O238" s="34" t="str">
        <f aca="false">IF(L238&gt;$B$6,"",INDEX(Example!$AC$7:$AC$506,MATCH(L238,Example!$AI$7:$AI$506,0)))</f>
        <v/>
      </c>
      <c r="P238" s="35" t="str">
        <f aca="false">IF(L238&gt;$B$6,"",INDEX(Example!$AD$7:$AD$506,MATCH(L238,Example!$AI$7:$AI$506,0)))</f>
        <v/>
      </c>
      <c r="Q238" s="34" t="n">
        <f aca="false">IF(L238&gt;$B$6,Q237,Q237+O238)</f>
        <v>22057.5</v>
      </c>
      <c r="R238" s="34" t="str">
        <f aca="false">IF(L238&gt;$B$6,"",Q238-MAX($Q$5:Q238))</f>
        <v/>
      </c>
    </row>
    <row r="239" customFormat="false" ht="15" hidden="false" customHeight="false" outlineLevel="0" collapsed="false">
      <c r="L239" s="0" t="n">
        <v>234</v>
      </c>
      <c r="M239" s="37" t="str">
        <f aca="false">IF(L239&gt;$B$6,"",INDEX(Example!$P$7:$P$506,MATCH(L239,Example!$AI$7:$AI$506,0)))</f>
        <v/>
      </c>
      <c r="N239" s="0" t="str">
        <f aca="false">IF(L239&gt;$B$6,"",INDEX(Example!$A$7:$A$506,MATCH(L239,Example!$AI$7:$AI$506,0)))</f>
        <v/>
      </c>
      <c r="O239" s="34" t="str">
        <f aca="false">IF(L239&gt;$B$6,"",INDEX(Example!$AC$7:$AC$506,MATCH(L239,Example!$AI$7:$AI$506,0)))</f>
        <v/>
      </c>
      <c r="P239" s="35" t="str">
        <f aca="false">IF(L239&gt;$B$6,"",INDEX(Example!$AD$7:$AD$506,MATCH(L239,Example!$AI$7:$AI$506,0)))</f>
        <v/>
      </c>
      <c r="Q239" s="34" t="n">
        <f aca="false">IF(L239&gt;$B$6,Q238,Q238+O239)</f>
        <v>22057.5</v>
      </c>
      <c r="R239" s="34" t="str">
        <f aca="false">IF(L239&gt;$B$6,"",Q239-MAX($Q$5:Q239))</f>
        <v/>
      </c>
    </row>
    <row r="240" customFormat="false" ht="15" hidden="false" customHeight="false" outlineLevel="0" collapsed="false">
      <c r="L240" s="0" t="n">
        <v>235</v>
      </c>
      <c r="M240" s="37" t="str">
        <f aca="false">IF(L240&gt;$B$6,"",INDEX(Example!$P$7:$P$506,MATCH(L240,Example!$AI$7:$AI$506,0)))</f>
        <v/>
      </c>
      <c r="N240" s="0" t="str">
        <f aca="false">IF(L240&gt;$B$6,"",INDEX(Example!$A$7:$A$506,MATCH(L240,Example!$AI$7:$AI$506,0)))</f>
        <v/>
      </c>
      <c r="O240" s="34" t="str">
        <f aca="false">IF(L240&gt;$B$6,"",INDEX(Example!$AC$7:$AC$506,MATCH(L240,Example!$AI$7:$AI$506,0)))</f>
        <v/>
      </c>
      <c r="P240" s="35" t="str">
        <f aca="false">IF(L240&gt;$B$6,"",INDEX(Example!$AD$7:$AD$506,MATCH(L240,Example!$AI$7:$AI$506,0)))</f>
        <v/>
      </c>
      <c r="Q240" s="34" t="n">
        <f aca="false">IF(L240&gt;$B$6,Q239,Q239+O240)</f>
        <v>22057.5</v>
      </c>
      <c r="R240" s="34" t="str">
        <f aca="false">IF(L240&gt;$B$6,"",Q240-MAX($Q$5:Q240))</f>
        <v/>
      </c>
    </row>
    <row r="241" customFormat="false" ht="15" hidden="false" customHeight="false" outlineLevel="0" collapsed="false">
      <c r="L241" s="0" t="n">
        <v>236</v>
      </c>
      <c r="M241" s="37" t="str">
        <f aca="false">IF(L241&gt;$B$6,"",INDEX(Example!$P$7:$P$506,MATCH(L241,Example!$AI$7:$AI$506,0)))</f>
        <v/>
      </c>
      <c r="N241" s="0" t="str">
        <f aca="false">IF(L241&gt;$B$6,"",INDEX(Example!$A$7:$A$506,MATCH(L241,Example!$AI$7:$AI$506,0)))</f>
        <v/>
      </c>
      <c r="O241" s="34" t="str">
        <f aca="false">IF(L241&gt;$B$6,"",INDEX(Example!$AC$7:$AC$506,MATCH(L241,Example!$AI$7:$AI$506,0)))</f>
        <v/>
      </c>
      <c r="P241" s="35" t="str">
        <f aca="false">IF(L241&gt;$B$6,"",INDEX(Example!$AD$7:$AD$506,MATCH(L241,Example!$AI$7:$AI$506,0)))</f>
        <v/>
      </c>
      <c r="Q241" s="34" t="n">
        <f aca="false">IF(L241&gt;$B$6,Q240,Q240+O241)</f>
        <v>22057.5</v>
      </c>
      <c r="R241" s="34" t="str">
        <f aca="false">IF(L241&gt;$B$6,"",Q241-MAX($Q$5:Q241))</f>
        <v/>
      </c>
    </row>
    <row r="242" customFormat="false" ht="15" hidden="false" customHeight="false" outlineLevel="0" collapsed="false">
      <c r="L242" s="0" t="n">
        <v>237</v>
      </c>
      <c r="M242" s="37" t="str">
        <f aca="false">IF(L242&gt;$B$6,"",INDEX(Example!$P$7:$P$506,MATCH(L242,Example!$AI$7:$AI$506,0)))</f>
        <v/>
      </c>
      <c r="N242" s="0" t="str">
        <f aca="false">IF(L242&gt;$B$6,"",INDEX(Example!$A$7:$A$506,MATCH(L242,Example!$AI$7:$AI$506,0)))</f>
        <v/>
      </c>
      <c r="O242" s="34" t="str">
        <f aca="false">IF(L242&gt;$B$6,"",INDEX(Example!$AC$7:$AC$506,MATCH(L242,Example!$AI$7:$AI$506,0)))</f>
        <v/>
      </c>
      <c r="P242" s="35" t="str">
        <f aca="false">IF(L242&gt;$B$6,"",INDEX(Example!$AD$7:$AD$506,MATCH(L242,Example!$AI$7:$AI$506,0)))</f>
        <v/>
      </c>
      <c r="Q242" s="34" t="n">
        <f aca="false">IF(L242&gt;$B$6,Q241,Q241+O242)</f>
        <v>22057.5</v>
      </c>
      <c r="R242" s="34" t="str">
        <f aca="false">IF(L242&gt;$B$6,"",Q242-MAX($Q$5:Q242))</f>
        <v/>
      </c>
    </row>
    <row r="243" customFormat="false" ht="15" hidden="false" customHeight="false" outlineLevel="0" collapsed="false">
      <c r="L243" s="0" t="n">
        <v>238</v>
      </c>
      <c r="M243" s="37" t="str">
        <f aca="false">IF(L243&gt;$B$6,"",INDEX(Example!$P$7:$P$506,MATCH(L243,Example!$AI$7:$AI$506,0)))</f>
        <v/>
      </c>
      <c r="N243" s="0" t="str">
        <f aca="false">IF(L243&gt;$B$6,"",INDEX(Example!$A$7:$A$506,MATCH(L243,Example!$AI$7:$AI$506,0)))</f>
        <v/>
      </c>
      <c r="O243" s="34" t="str">
        <f aca="false">IF(L243&gt;$B$6,"",INDEX(Example!$AC$7:$AC$506,MATCH(L243,Example!$AI$7:$AI$506,0)))</f>
        <v/>
      </c>
      <c r="P243" s="35" t="str">
        <f aca="false">IF(L243&gt;$B$6,"",INDEX(Example!$AD$7:$AD$506,MATCH(L243,Example!$AI$7:$AI$506,0)))</f>
        <v/>
      </c>
      <c r="Q243" s="34" t="n">
        <f aca="false">IF(L243&gt;$B$6,Q242,Q242+O243)</f>
        <v>22057.5</v>
      </c>
      <c r="R243" s="34" t="str">
        <f aca="false">IF(L243&gt;$B$6,"",Q243-MAX($Q$5:Q243))</f>
        <v/>
      </c>
    </row>
    <row r="244" customFormat="false" ht="15" hidden="false" customHeight="false" outlineLevel="0" collapsed="false">
      <c r="L244" s="0" t="n">
        <v>239</v>
      </c>
      <c r="M244" s="37" t="str">
        <f aca="false">IF(L244&gt;$B$6,"",INDEX(Example!$P$7:$P$506,MATCH(L244,Example!$AI$7:$AI$506,0)))</f>
        <v/>
      </c>
      <c r="N244" s="0" t="str">
        <f aca="false">IF(L244&gt;$B$6,"",INDEX(Example!$A$7:$A$506,MATCH(L244,Example!$AI$7:$AI$506,0)))</f>
        <v/>
      </c>
      <c r="O244" s="34" t="str">
        <f aca="false">IF(L244&gt;$B$6,"",INDEX(Example!$AC$7:$AC$506,MATCH(L244,Example!$AI$7:$AI$506,0)))</f>
        <v/>
      </c>
      <c r="P244" s="35" t="str">
        <f aca="false">IF(L244&gt;$B$6,"",INDEX(Example!$AD$7:$AD$506,MATCH(L244,Example!$AI$7:$AI$506,0)))</f>
        <v/>
      </c>
      <c r="Q244" s="34" t="n">
        <f aca="false">IF(L244&gt;$B$6,Q243,Q243+O244)</f>
        <v>22057.5</v>
      </c>
      <c r="R244" s="34" t="str">
        <f aca="false">IF(L244&gt;$B$6,"",Q244-MAX($Q$5:Q244))</f>
        <v/>
      </c>
    </row>
    <row r="245" customFormat="false" ht="15" hidden="false" customHeight="false" outlineLevel="0" collapsed="false">
      <c r="L245" s="0" t="n">
        <v>240</v>
      </c>
      <c r="M245" s="37" t="str">
        <f aca="false">IF(L245&gt;$B$6,"",INDEX(Example!$P$7:$P$506,MATCH(L245,Example!$AI$7:$AI$506,0)))</f>
        <v/>
      </c>
      <c r="N245" s="0" t="str">
        <f aca="false">IF(L245&gt;$B$6,"",INDEX(Example!$A$7:$A$506,MATCH(L245,Example!$AI$7:$AI$506,0)))</f>
        <v/>
      </c>
      <c r="O245" s="34" t="str">
        <f aca="false">IF(L245&gt;$B$6,"",INDEX(Example!$AC$7:$AC$506,MATCH(L245,Example!$AI$7:$AI$506,0)))</f>
        <v/>
      </c>
      <c r="P245" s="35" t="str">
        <f aca="false">IF(L245&gt;$B$6,"",INDEX(Example!$AD$7:$AD$506,MATCH(L245,Example!$AI$7:$AI$506,0)))</f>
        <v/>
      </c>
      <c r="Q245" s="34" t="n">
        <f aca="false">IF(L245&gt;$B$6,Q244,Q244+O245)</f>
        <v>22057.5</v>
      </c>
      <c r="R245" s="34" t="str">
        <f aca="false">IF(L245&gt;$B$6,"",Q245-MAX($Q$5:Q245))</f>
        <v/>
      </c>
    </row>
    <row r="246" customFormat="false" ht="15" hidden="false" customHeight="false" outlineLevel="0" collapsed="false">
      <c r="L246" s="0" t="n">
        <v>241</v>
      </c>
      <c r="M246" s="37" t="str">
        <f aca="false">IF(L246&gt;$B$6,"",INDEX(Example!$P$7:$P$506,MATCH(L246,Example!$AI$7:$AI$506,0)))</f>
        <v/>
      </c>
      <c r="N246" s="0" t="str">
        <f aca="false">IF(L246&gt;$B$6,"",INDEX(Example!$A$7:$A$506,MATCH(L246,Example!$AI$7:$AI$506,0)))</f>
        <v/>
      </c>
      <c r="O246" s="34" t="str">
        <f aca="false">IF(L246&gt;$B$6,"",INDEX(Example!$AC$7:$AC$506,MATCH(L246,Example!$AI$7:$AI$506,0)))</f>
        <v/>
      </c>
      <c r="P246" s="35" t="str">
        <f aca="false">IF(L246&gt;$B$6,"",INDEX(Example!$AD$7:$AD$506,MATCH(L246,Example!$AI$7:$AI$506,0)))</f>
        <v/>
      </c>
      <c r="Q246" s="34" t="n">
        <f aca="false">IF(L246&gt;$B$6,Q245,Q245+O246)</f>
        <v>22057.5</v>
      </c>
      <c r="R246" s="34" t="str">
        <f aca="false">IF(L246&gt;$B$6,"",Q246-MAX($Q$5:Q246))</f>
        <v/>
      </c>
    </row>
    <row r="247" customFormat="false" ht="15" hidden="false" customHeight="false" outlineLevel="0" collapsed="false">
      <c r="L247" s="0" t="n">
        <v>242</v>
      </c>
      <c r="M247" s="37" t="str">
        <f aca="false">IF(L247&gt;$B$6,"",INDEX(Example!$P$7:$P$506,MATCH(L247,Example!$AI$7:$AI$506,0)))</f>
        <v/>
      </c>
      <c r="N247" s="0" t="str">
        <f aca="false">IF(L247&gt;$B$6,"",INDEX(Example!$A$7:$A$506,MATCH(L247,Example!$AI$7:$AI$506,0)))</f>
        <v/>
      </c>
      <c r="O247" s="34" t="str">
        <f aca="false">IF(L247&gt;$B$6,"",INDEX(Example!$AC$7:$AC$506,MATCH(L247,Example!$AI$7:$AI$506,0)))</f>
        <v/>
      </c>
      <c r="P247" s="35" t="str">
        <f aca="false">IF(L247&gt;$B$6,"",INDEX(Example!$AD$7:$AD$506,MATCH(L247,Example!$AI$7:$AI$506,0)))</f>
        <v/>
      </c>
      <c r="Q247" s="34" t="n">
        <f aca="false">IF(L247&gt;$B$6,Q246,Q246+O247)</f>
        <v>22057.5</v>
      </c>
      <c r="R247" s="34" t="str">
        <f aca="false">IF(L247&gt;$B$6,"",Q247-MAX($Q$5:Q247))</f>
        <v/>
      </c>
    </row>
    <row r="248" customFormat="false" ht="15" hidden="false" customHeight="false" outlineLevel="0" collapsed="false">
      <c r="L248" s="0" t="n">
        <v>243</v>
      </c>
      <c r="M248" s="37" t="str">
        <f aca="false">IF(L248&gt;$B$6,"",INDEX(Example!$P$7:$P$506,MATCH(L248,Example!$AI$7:$AI$506,0)))</f>
        <v/>
      </c>
      <c r="N248" s="0" t="str">
        <f aca="false">IF(L248&gt;$B$6,"",INDEX(Example!$A$7:$A$506,MATCH(L248,Example!$AI$7:$AI$506,0)))</f>
        <v/>
      </c>
      <c r="O248" s="34" t="str">
        <f aca="false">IF(L248&gt;$B$6,"",INDEX(Example!$AC$7:$AC$506,MATCH(L248,Example!$AI$7:$AI$506,0)))</f>
        <v/>
      </c>
      <c r="P248" s="35" t="str">
        <f aca="false">IF(L248&gt;$B$6,"",INDEX(Example!$AD$7:$AD$506,MATCH(L248,Example!$AI$7:$AI$506,0)))</f>
        <v/>
      </c>
      <c r="Q248" s="34" t="n">
        <f aca="false">IF(L248&gt;$B$6,Q247,Q247+O248)</f>
        <v>22057.5</v>
      </c>
      <c r="R248" s="34" t="str">
        <f aca="false">IF(L248&gt;$B$6,"",Q248-MAX($Q$5:Q248))</f>
        <v/>
      </c>
    </row>
    <row r="249" customFormat="false" ht="15" hidden="false" customHeight="false" outlineLevel="0" collapsed="false">
      <c r="L249" s="0" t="n">
        <v>244</v>
      </c>
      <c r="M249" s="37" t="str">
        <f aca="false">IF(L249&gt;$B$6,"",INDEX(Example!$P$7:$P$506,MATCH(L249,Example!$AI$7:$AI$506,0)))</f>
        <v/>
      </c>
      <c r="N249" s="0" t="str">
        <f aca="false">IF(L249&gt;$B$6,"",INDEX(Example!$A$7:$A$506,MATCH(L249,Example!$AI$7:$AI$506,0)))</f>
        <v/>
      </c>
      <c r="O249" s="34" t="str">
        <f aca="false">IF(L249&gt;$B$6,"",INDEX(Example!$AC$7:$AC$506,MATCH(L249,Example!$AI$7:$AI$506,0)))</f>
        <v/>
      </c>
      <c r="P249" s="35" t="str">
        <f aca="false">IF(L249&gt;$B$6,"",INDEX(Example!$AD$7:$AD$506,MATCH(L249,Example!$AI$7:$AI$506,0)))</f>
        <v/>
      </c>
      <c r="Q249" s="34" t="n">
        <f aca="false">IF(L249&gt;$B$6,Q248,Q248+O249)</f>
        <v>22057.5</v>
      </c>
      <c r="R249" s="34" t="str">
        <f aca="false">IF(L249&gt;$B$6,"",Q249-MAX($Q$5:Q249))</f>
        <v/>
      </c>
    </row>
    <row r="250" customFormat="false" ht="15" hidden="false" customHeight="false" outlineLevel="0" collapsed="false">
      <c r="L250" s="0" t="n">
        <v>245</v>
      </c>
      <c r="M250" s="37" t="str">
        <f aca="false">IF(L250&gt;$B$6,"",INDEX(Example!$P$7:$P$506,MATCH(L250,Example!$AI$7:$AI$506,0)))</f>
        <v/>
      </c>
      <c r="N250" s="0" t="str">
        <f aca="false">IF(L250&gt;$B$6,"",INDEX(Example!$A$7:$A$506,MATCH(L250,Example!$AI$7:$AI$506,0)))</f>
        <v/>
      </c>
      <c r="O250" s="34" t="str">
        <f aca="false">IF(L250&gt;$B$6,"",INDEX(Example!$AC$7:$AC$506,MATCH(L250,Example!$AI$7:$AI$506,0)))</f>
        <v/>
      </c>
      <c r="P250" s="35" t="str">
        <f aca="false">IF(L250&gt;$B$6,"",INDEX(Example!$AD$7:$AD$506,MATCH(L250,Example!$AI$7:$AI$506,0)))</f>
        <v/>
      </c>
      <c r="Q250" s="34" t="n">
        <f aca="false">IF(L250&gt;$B$6,Q249,Q249+O250)</f>
        <v>22057.5</v>
      </c>
      <c r="R250" s="34" t="str">
        <f aca="false">IF(L250&gt;$B$6,"",Q250-MAX($Q$5:Q250))</f>
        <v/>
      </c>
    </row>
    <row r="251" customFormat="false" ht="15" hidden="false" customHeight="false" outlineLevel="0" collapsed="false">
      <c r="L251" s="0" t="n">
        <v>246</v>
      </c>
      <c r="M251" s="37" t="str">
        <f aca="false">IF(L251&gt;$B$6,"",INDEX(Example!$P$7:$P$506,MATCH(L251,Example!$AI$7:$AI$506,0)))</f>
        <v/>
      </c>
      <c r="N251" s="0" t="str">
        <f aca="false">IF(L251&gt;$B$6,"",INDEX(Example!$A$7:$A$506,MATCH(L251,Example!$AI$7:$AI$506,0)))</f>
        <v/>
      </c>
      <c r="O251" s="34" t="str">
        <f aca="false">IF(L251&gt;$B$6,"",INDEX(Example!$AC$7:$AC$506,MATCH(L251,Example!$AI$7:$AI$506,0)))</f>
        <v/>
      </c>
      <c r="P251" s="35" t="str">
        <f aca="false">IF(L251&gt;$B$6,"",INDEX(Example!$AD$7:$AD$506,MATCH(L251,Example!$AI$7:$AI$506,0)))</f>
        <v/>
      </c>
      <c r="Q251" s="34" t="n">
        <f aca="false">IF(L251&gt;$B$6,Q250,Q250+O251)</f>
        <v>22057.5</v>
      </c>
      <c r="R251" s="34" t="str">
        <f aca="false">IF(L251&gt;$B$6,"",Q251-MAX($Q$5:Q251))</f>
        <v/>
      </c>
    </row>
    <row r="252" customFormat="false" ht="15" hidden="false" customHeight="false" outlineLevel="0" collapsed="false">
      <c r="L252" s="0" t="n">
        <v>247</v>
      </c>
      <c r="M252" s="37" t="str">
        <f aca="false">IF(L252&gt;$B$6,"",INDEX(Example!$P$7:$P$506,MATCH(L252,Example!$AI$7:$AI$506,0)))</f>
        <v/>
      </c>
      <c r="N252" s="0" t="str">
        <f aca="false">IF(L252&gt;$B$6,"",INDEX(Example!$A$7:$A$506,MATCH(L252,Example!$AI$7:$AI$506,0)))</f>
        <v/>
      </c>
      <c r="O252" s="34" t="str">
        <f aca="false">IF(L252&gt;$B$6,"",INDEX(Example!$AC$7:$AC$506,MATCH(L252,Example!$AI$7:$AI$506,0)))</f>
        <v/>
      </c>
      <c r="P252" s="35" t="str">
        <f aca="false">IF(L252&gt;$B$6,"",INDEX(Example!$AD$7:$AD$506,MATCH(L252,Example!$AI$7:$AI$506,0)))</f>
        <v/>
      </c>
      <c r="Q252" s="34" t="n">
        <f aca="false">IF(L252&gt;$B$6,Q251,Q251+O252)</f>
        <v>22057.5</v>
      </c>
      <c r="R252" s="34" t="str">
        <f aca="false">IF(L252&gt;$B$6,"",Q252-MAX($Q$5:Q252))</f>
        <v/>
      </c>
    </row>
    <row r="253" customFormat="false" ht="15" hidden="false" customHeight="false" outlineLevel="0" collapsed="false">
      <c r="L253" s="0" t="n">
        <v>248</v>
      </c>
      <c r="M253" s="37" t="str">
        <f aca="false">IF(L253&gt;$B$6,"",INDEX(Example!$P$7:$P$506,MATCH(L253,Example!$AI$7:$AI$506,0)))</f>
        <v/>
      </c>
      <c r="N253" s="0" t="str">
        <f aca="false">IF(L253&gt;$B$6,"",INDEX(Example!$A$7:$A$506,MATCH(L253,Example!$AI$7:$AI$506,0)))</f>
        <v/>
      </c>
      <c r="O253" s="34" t="str">
        <f aca="false">IF(L253&gt;$B$6,"",INDEX(Example!$AC$7:$AC$506,MATCH(L253,Example!$AI$7:$AI$506,0)))</f>
        <v/>
      </c>
      <c r="P253" s="35" t="str">
        <f aca="false">IF(L253&gt;$B$6,"",INDEX(Example!$AD$7:$AD$506,MATCH(L253,Example!$AI$7:$AI$506,0)))</f>
        <v/>
      </c>
      <c r="Q253" s="34" t="n">
        <f aca="false">IF(L253&gt;$B$6,Q252,Q252+O253)</f>
        <v>22057.5</v>
      </c>
      <c r="R253" s="34" t="str">
        <f aca="false">IF(L253&gt;$B$6,"",Q253-MAX($Q$5:Q253))</f>
        <v/>
      </c>
    </row>
    <row r="254" customFormat="false" ht="15" hidden="false" customHeight="false" outlineLevel="0" collapsed="false">
      <c r="L254" s="0" t="n">
        <v>249</v>
      </c>
      <c r="M254" s="37" t="str">
        <f aca="false">IF(L254&gt;$B$6,"",INDEX(Example!$P$7:$P$506,MATCH(L254,Example!$AI$7:$AI$506,0)))</f>
        <v/>
      </c>
      <c r="N254" s="0" t="str">
        <f aca="false">IF(L254&gt;$B$6,"",INDEX(Example!$A$7:$A$506,MATCH(L254,Example!$AI$7:$AI$506,0)))</f>
        <v/>
      </c>
      <c r="O254" s="34" t="str">
        <f aca="false">IF(L254&gt;$B$6,"",INDEX(Example!$AC$7:$AC$506,MATCH(L254,Example!$AI$7:$AI$506,0)))</f>
        <v/>
      </c>
      <c r="P254" s="35" t="str">
        <f aca="false">IF(L254&gt;$B$6,"",INDEX(Example!$AD$7:$AD$506,MATCH(L254,Example!$AI$7:$AI$506,0)))</f>
        <v/>
      </c>
      <c r="Q254" s="34" t="n">
        <f aca="false">IF(L254&gt;$B$6,Q253,Q253+O254)</f>
        <v>22057.5</v>
      </c>
      <c r="R254" s="34" t="str">
        <f aca="false">IF(L254&gt;$B$6,"",Q254-MAX($Q$5:Q254))</f>
        <v/>
      </c>
    </row>
    <row r="255" customFormat="false" ht="15" hidden="false" customHeight="false" outlineLevel="0" collapsed="false">
      <c r="L255" s="0" t="n">
        <v>250</v>
      </c>
      <c r="M255" s="37" t="str">
        <f aca="false">IF(L255&gt;$B$6,"",INDEX(Example!$P$7:$P$506,MATCH(L255,Example!$AI$7:$AI$506,0)))</f>
        <v/>
      </c>
      <c r="N255" s="0" t="str">
        <f aca="false">IF(L255&gt;$B$6,"",INDEX(Example!$A$7:$A$506,MATCH(L255,Example!$AI$7:$AI$506,0)))</f>
        <v/>
      </c>
      <c r="O255" s="34" t="str">
        <f aca="false">IF(L255&gt;$B$6,"",INDEX(Example!$AC$7:$AC$506,MATCH(L255,Example!$AI$7:$AI$506,0)))</f>
        <v/>
      </c>
      <c r="P255" s="35" t="str">
        <f aca="false">IF(L255&gt;$B$6,"",INDEX(Example!$AD$7:$AD$506,MATCH(L255,Example!$AI$7:$AI$506,0)))</f>
        <v/>
      </c>
      <c r="Q255" s="34" t="n">
        <f aca="false">IF(L255&gt;$B$6,Q254,Q254+O255)</f>
        <v>22057.5</v>
      </c>
      <c r="R255" s="34" t="str">
        <f aca="false">IF(L255&gt;$B$6,"",Q255-MAX($Q$5:Q255))</f>
        <v/>
      </c>
    </row>
    <row r="256" customFormat="false" ht="15" hidden="false" customHeight="false" outlineLevel="0" collapsed="false">
      <c r="L256" s="0" t="n">
        <v>251</v>
      </c>
      <c r="M256" s="37" t="str">
        <f aca="false">IF(L256&gt;$B$6,"",INDEX(Example!$P$7:$P$506,MATCH(L256,Example!$AI$7:$AI$506,0)))</f>
        <v/>
      </c>
      <c r="N256" s="0" t="str">
        <f aca="false">IF(L256&gt;$B$6,"",INDEX(Example!$A$7:$A$506,MATCH(L256,Example!$AI$7:$AI$506,0)))</f>
        <v/>
      </c>
      <c r="O256" s="34" t="str">
        <f aca="false">IF(L256&gt;$B$6,"",INDEX(Example!$AC$7:$AC$506,MATCH(L256,Example!$AI$7:$AI$506,0)))</f>
        <v/>
      </c>
      <c r="P256" s="35" t="str">
        <f aca="false">IF(L256&gt;$B$6,"",INDEX(Example!$AD$7:$AD$506,MATCH(L256,Example!$AI$7:$AI$506,0)))</f>
        <v/>
      </c>
      <c r="Q256" s="34" t="n">
        <f aca="false">IF(L256&gt;$B$6,Q255,Q255+O256)</f>
        <v>22057.5</v>
      </c>
      <c r="R256" s="34" t="str">
        <f aca="false">IF(L256&gt;$B$6,"",Q256-MAX($Q$5:Q256))</f>
        <v/>
      </c>
    </row>
    <row r="257" customFormat="false" ht="15" hidden="false" customHeight="false" outlineLevel="0" collapsed="false">
      <c r="L257" s="0" t="n">
        <v>252</v>
      </c>
      <c r="M257" s="37" t="str">
        <f aca="false">IF(L257&gt;$B$6,"",INDEX(Example!$P$7:$P$506,MATCH(L257,Example!$AI$7:$AI$506,0)))</f>
        <v/>
      </c>
      <c r="N257" s="0" t="str">
        <f aca="false">IF(L257&gt;$B$6,"",INDEX(Example!$A$7:$A$506,MATCH(L257,Example!$AI$7:$AI$506,0)))</f>
        <v/>
      </c>
      <c r="O257" s="34" t="str">
        <f aca="false">IF(L257&gt;$B$6,"",INDEX(Example!$AC$7:$AC$506,MATCH(L257,Example!$AI$7:$AI$506,0)))</f>
        <v/>
      </c>
      <c r="P257" s="35" t="str">
        <f aca="false">IF(L257&gt;$B$6,"",INDEX(Example!$AD$7:$AD$506,MATCH(L257,Example!$AI$7:$AI$506,0)))</f>
        <v/>
      </c>
      <c r="Q257" s="34" t="n">
        <f aca="false">IF(L257&gt;$B$6,Q256,Q256+O257)</f>
        <v>22057.5</v>
      </c>
      <c r="R257" s="34" t="str">
        <f aca="false">IF(L257&gt;$B$6,"",Q257-MAX($Q$5:Q257))</f>
        <v/>
      </c>
    </row>
    <row r="258" customFormat="false" ht="15" hidden="false" customHeight="false" outlineLevel="0" collapsed="false">
      <c r="L258" s="0" t="n">
        <v>253</v>
      </c>
      <c r="M258" s="37" t="str">
        <f aca="false">IF(L258&gt;$B$6,"",INDEX(Example!$P$7:$P$506,MATCH(L258,Example!$AI$7:$AI$506,0)))</f>
        <v/>
      </c>
      <c r="N258" s="0" t="str">
        <f aca="false">IF(L258&gt;$B$6,"",INDEX(Example!$A$7:$A$506,MATCH(L258,Example!$AI$7:$AI$506,0)))</f>
        <v/>
      </c>
      <c r="O258" s="34" t="str">
        <f aca="false">IF(L258&gt;$B$6,"",INDEX(Example!$AC$7:$AC$506,MATCH(L258,Example!$AI$7:$AI$506,0)))</f>
        <v/>
      </c>
      <c r="P258" s="35" t="str">
        <f aca="false">IF(L258&gt;$B$6,"",INDEX(Example!$AD$7:$AD$506,MATCH(L258,Example!$AI$7:$AI$506,0)))</f>
        <v/>
      </c>
      <c r="Q258" s="34" t="n">
        <f aca="false">IF(L258&gt;$B$6,Q257,Q257+O258)</f>
        <v>22057.5</v>
      </c>
      <c r="R258" s="34" t="str">
        <f aca="false">IF(L258&gt;$B$6,"",Q258-MAX($Q$5:Q258))</f>
        <v/>
      </c>
    </row>
    <row r="259" customFormat="false" ht="15" hidden="false" customHeight="false" outlineLevel="0" collapsed="false">
      <c r="L259" s="0" t="n">
        <v>254</v>
      </c>
      <c r="M259" s="37" t="str">
        <f aca="false">IF(L259&gt;$B$6,"",INDEX(Example!$P$7:$P$506,MATCH(L259,Example!$AI$7:$AI$506,0)))</f>
        <v/>
      </c>
      <c r="N259" s="0" t="str">
        <f aca="false">IF(L259&gt;$B$6,"",INDEX(Example!$A$7:$A$506,MATCH(L259,Example!$AI$7:$AI$506,0)))</f>
        <v/>
      </c>
      <c r="O259" s="34" t="str">
        <f aca="false">IF(L259&gt;$B$6,"",INDEX(Example!$AC$7:$AC$506,MATCH(L259,Example!$AI$7:$AI$506,0)))</f>
        <v/>
      </c>
      <c r="P259" s="35" t="str">
        <f aca="false">IF(L259&gt;$B$6,"",INDEX(Example!$AD$7:$AD$506,MATCH(L259,Example!$AI$7:$AI$506,0)))</f>
        <v/>
      </c>
      <c r="Q259" s="34" t="n">
        <f aca="false">IF(L259&gt;$B$6,Q258,Q258+O259)</f>
        <v>22057.5</v>
      </c>
      <c r="R259" s="34" t="str">
        <f aca="false">IF(L259&gt;$B$6,"",Q259-MAX($Q$5:Q259))</f>
        <v/>
      </c>
    </row>
    <row r="260" customFormat="false" ht="15" hidden="false" customHeight="false" outlineLevel="0" collapsed="false">
      <c r="L260" s="0" t="n">
        <v>255</v>
      </c>
      <c r="M260" s="37" t="str">
        <f aca="false">IF(L260&gt;$B$6,"",INDEX(Example!$P$7:$P$506,MATCH(L260,Example!$AI$7:$AI$506,0)))</f>
        <v/>
      </c>
      <c r="N260" s="0" t="str">
        <f aca="false">IF(L260&gt;$B$6,"",INDEX(Example!$A$7:$A$506,MATCH(L260,Example!$AI$7:$AI$506,0)))</f>
        <v/>
      </c>
      <c r="O260" s="34" t="str">
        <f aca="false">IF(L260&gt;$B$6,"",INDEX(Example!$AC$7:$AC$506,MATCH(L260,Example!$AI$7:$AI$506,0)))</f>
        <v/>
      </c>
      <c r="P260" s="35" t="str">
        <f aca="false">IF(L260&gt;$B$6,"",INDEX(Example!$AD$7:$AD$506,MATCH(L260,Example!$AI$7:$AI$506,0)))</f>
        <v/>
      </c>
      <c r="Q260" s="34" t="n">
        <f aca="false">IF(L260&gt;$B$6,Q259,Q259+O260)</f>
        <v>22057.5</v>
      </c>
      <c r="R260" s="34" t="str">
        <f aca="false">IF(L260&gt;$B$6,"",Q260-MAX($Q$5:Q260))</f>
        <v/>
      </c>
    </row>
    <row r="261" customFormat="false" ht="15" hidden="false" customHeight="false" outlineLevel="0" collapsed="false">
      <c r="L261" s="0" t="n">
        <v>256</v>
      </c>
      <c r="M261" s="37" t="str">
        <f aca="false">IF(L261&gt;$B$6,"",INDEX(Example!$P$7:$P$506,MATCH(L261,Example!$AI$7:$AI$506,0)))</f>
        <v/>
      </c>
      <c r="N261" s="0" t="str">
        <f aca="false">IF(L261&gt;$B$6,"",INDEX(Example!$A$7:$A$506,MATCH(L261,Example!$AI$7:$AI$506,0)))</f>
        <v/>
      </c>
      <c r="O261" s="34" t="str">
        <f aca="false">IF(L261&gt;$B$6,"",INDEX(Example!$AC$7:$AC$506,MATCH(L261,Example!$AI$7:$AI$506,0)))</f>
        <v/>
      </c>
      <c r="P261" s="35" t="str">
        <f aca="false">IF(L261&gt;$B$6,"",INDEX(Example!$AD$7:$AD$506,MATCH(L261,Example!$AI$7:$AI$506,0)))</f>
        <v/>
      </c>
      <c r="Q261" s="34" t="n">
        <f aca="false">IF(L261&gt;$B$6,Q260,Q260+O261)</f>
        <v>22057.5</v>
      </c>
      <c r="R261" s="34" t="str">
        <f aca="false">IF(L261&gt;$B$6,"",Q261-MAX($Q$5:Q261))</f>
        <v/>
      </c>
    </row>
    <row r="262" customFormat="false" ht="15" hidden="false" customHeight="false" outlineLevel="0" collapsed="false">
      <c r="L262" s="0" t="n">
        <v>257</v>
      </c>
      <c r="M262" s="37" t="str">
        <f aca="false">IF(L262&gt;$B$6,"",INDEX(Example!$P$7:$P$506,MATCH(L262,Example!$AI$7:$AI$506,0)))</f>
        <v/>
      </c>
      <c r="N262" s="0" t="str">
        <f aca="false">IF(L262&gt;$B$6,"",INDEX(Example!$A$7:$A$506,MATCH(L262,Example!$AI$7:$AI$506,0)))</f>
        <v/>
      </c>
      <c r="O262" s="34" t="str">
        <f aca="false">IF(L262&gt;$B$6,"",INDEX(Example!$AC$7:$AC$506,MATCH(L262,Example!$AI$7:$AI$506,0)))</f>
        <v/>
      </c>
      <c r="P262" s="35" t="str">
        <f aca="false">IF(L262&gt;$B$6,"",INDEX(Example!$AD$7:$AD$506,MATCH(L262,Example!$AI$7:$AI$506,0)))</f>
        <v/>
      </c>
      <c r="Q262" s="34" t="n">
        <f aca="false">IF(L262&gt;$B$6,Q261,Q261+O262)</f>
        <v>22057.5</v>
      </c>
      <c r="R262" s="34" t="str">
        <f aca="false">IF(L262&gt;$B$6,"",Q262-MAX($Q$5:Q262))</f>
        <v/>
      </c>
    </row>
    <row r="263" customFormat="false" ht="15" hidden="false" customHeight="false" outlineLevel="0" collapsed="false">
      <c r="L263" s="0" t="n">
        <v>258</v>
      </c>
      <c r="M263" s="37" t="str">
        <f aca="false">IF(L263&gt;$B$6,"",INDEX(Example!$P$7:$P$506,MATCH(L263,Example!$AI$7:$AI$506,0)))</f>
        <v/>
      </c>
      <c r="N263" s="0" t="str">
        <f aca="false">IF(L263&gt;$B$6,"",INDEX(Example!$A$7:$A$506,MATCH(L263,Example!$AI$7:$AI$506,0)))</f>
        <v/>
      </c>
      <c r="O263" s="34" t="str">
        <f aca="false">IF(L263&gt;$B$6,"",INDEX(Example!$AC$7:$AC$506,MATCH(L263,Example!$AI$7:$AI$506,0)))</f>
        <v/>
      </c>
      <c r="P263" s="35" t="str">
        <f aca="false">IF(L263&gt;$B$6,"",INDEX(Example!$AD$7:$AD$506,MATCH(L263,Example!$AI$7:$AI$506,0)))</f>
        <v/>
      </c>
      <c r="Q263" s="34" t="n">
        <f aca="false">IF(L263&gt;$B$6,Q262,Q262+O263)</f>
        <v>22057.5</v>
      </c>
      <c r="R263" s="34" t="str">
        <f aca="false">IF(L263&gt;$B$6,"",Q263-MAX($Q$5:Q263))</f>
        <v/>
      </c>
    </row>
    <row r="264" customFormat="false" ht="15" hidden="false" customHeight="false" outlineLevel="0" collapsed="false">
      <c r="L264" s="0" t="n">
        <v>259</v>
      </c>
      <c r="M264" s="37" t="str">
        <f aca="false">IF(L264&gt;$B$6,"",INDEX(Example!$P$7:$P$506,MATCH(L264,Example!$AI$7:$AI$506,0)))</f>
        <v/>
      </c>
      <c r="N264" s="0" t="str">
        <f aca="false">IF(L264&gt;$B$6,"",INDEX(Example!$A$7:$A$506,MATCH(L264,Example!$AI$7:$AI$506,0)))</f>
        <v/>
      </c>
      <c r="O264" s="34" t="str">
        <f aca="false">IF(L264&gt;$B$6,"",INDEX(Example!$AC$7:$AC$506,MATCH(L264,Example!$AI$7:$AI$506,0)))</f>
        <v/>
      </c>
      <c r="P264" s="35" t="str">
        <f aca="false">IF(L264&gt;$B$6,"",INDEX(Example!$AD$7:$AD$506,MATCH(L264,Example!$AI$7:$AI$506,0)))</f>
        <v/>
      </c>
      <c r="Q264" s="34" t="n">
        <f aca="false">IF(L264&gt;$B$6,Q263,Q263+O264)</f>
        <v>22057.5</v>
      </c>
      <c r="R264" s="34" t="str">
        <f aca="false">IF(L264&gt;$B$6,"",Q264-MAX($Q$5:Q264))</f>
        <v/>
      </c>
    </row>
    <row r="265" customFormat="false" ht="15" hidden="false" customHeight="false" outlineLevel="0" collapsed="false">
      <c r="L265" s="0" t="n">
        <v>260</v>
      </c>
      <c r="M265" s="37" t="str">
        <f aca="false">IF(L265&gt;$B$6,"",INDEX(Example!$P$7:$P$506,MATCH(L265,Example!$AI$7:$AI$506,0)))</f>
        <v/>
      </c>
      <c r="N265" s="0" t="str">
        <f aca="false">IF(L265&gt;$B$6,"",INDEX(Example!$A$7:$A$506,MATCH(L265,Example!$AI$7:$AI$506,0)))</f>
        <v/>
      </c>
      <c r="O265" s="34" t="str">
        <f aca="false">IF(L265&gt;$B$6,"",INDEX(Example!$AC$7:$AC$506,MATCH(L265,Example!$AI$7:$AI$506,0)))</f>
        <v/>
      </c>
      <c r="P265" s="35" t="str">
        <f aca="false">IF(L265&gt;$B$6,"",INDEX(Example!$AD$7:$AD$506,MATCH(L265,Example!$AI$7:$AI$506,0)))</f>
        <v/>
      </c>
      <c r="Q265" s="34" t="n">
        <f aca="false">IF(L265&gt;$B$6,Q264,Q264+O265)</f>
        <v>22057.5</v>
      </c>
      <c r="R265" s="34" t="str">
        <f aca="false">IF(L265&gt;$B$6,"",Q265-MAX($Q$5:Q265))</f>
        <v/>
      </c>
    </row>
    <row r="266" customFormat="false" ht="15" hidden="false" customHeight="false" outlineLevel="0" collapsed="false">
      <c r="L266" s="0" t="n">
        <v>261</v>
      </c>
      <c r="M266" s="37" t="str">
        <f aca="false">IF(L266&gt;$B$6,"",INDEX(Example!$P$7:$P$506,MATCH(L266,Example!$AI$7:$AI$506,0)))</f>
        <v/>
      </c>
      <c r="N266" s="0" t="str">
        <f aca="false">IF(L266&gt;$B$6,"",INDEX(Example!$A$7:$A$506,MATCH(L266,Example!$AI$7:$AI$506,0)))</f>
        <v/>
      </c>
      <c r="O266" s="34" t="str">
        <f aca="false">IF(L266&gt;$B$6,"",INDEX(Example!$AC$7:$AC$506,MATCH(L266,Example!$AI$7:$AI$506,0)))</f>
        <v/>
      </c>
      <c r="P266" s="35" t="str">
        <f aca="false">IF(L266&gt;$B$6,"",INDEX(Example!$AD$7:$AD$506,MATCH(L266,Example!$AI$7:$AI$506,0)))</f>
        <v/>
      </c>
      <c r="Q266" s="34" t="n">
        <f aca="false">IF(L266&gt;$B$6,Q265,Q265+O266)</f>
        <v>22057.5</v>
      </c>
      <c r="R266" s="34" t="str">
        <f aca="false">IF(L266&gt;$B$6,"",Q266-MAX($Q$5:Q266))</f>
        <v/>
      </c>
    </row>
    <row r="267" customFormat="false" ht="15" hidden="false" customHeight="false" outlineLevel="0" collapsed="false">
      <c r="L267" s="0" t="n">
        <v>262</v>
      </c>
      <c r="M267" s="37" t="str">
        <f aca="false">IF(L267&gt;$B$6,"",INDEX(Example!$P$7:$P$506,MATCH(L267,Example!$AI$7:$AI$506,0)))</f>
        <v/>
      </c>
      <c r="N267" s="0" t="str">
        <f aca="false">IF(L267&gt;$B$6,"",INDEX(Example!$A$7:$A$506,MATCH(L267,Example!$AI$7:$AI$506,0)))</f>
        <v/>
      </c>
      <c r="O267" s="34" t="str">
        <f aca="false">IF(L267&gt;$B$6,"",INDEX(Example!$AC$7:$AC$506,MATCH(L267,Example!$AI$7:$AI$506,0)))</f>
        <v/>
      </c>
      <c r="P267" s="35" t="str">
        <f aca="false">IF(L267&gt;$B$6,"",INDEX(Example!$AD$7:$AD$506,MATCH(L267,Example!$AI$7:$AI$506,0)))</f>
        <v/>
      </c>
      <c r="Q267" s="34" t="n">
        <f aca="false">IF(L267&gt;$B$6,Q266,Q266+O267)</f>
        <v>22057.5</v>
      </c>
      <c r="R267" s="34" t="str">
        <f aca="false">IF(L267&gt;$B$6,"",Q267-MAX($Q$5:Q267))</f>
        <v/>
      </c>
    </row>
    <row r="268" customFormat="false" ht="15" hidden="false" customHeight="false" outlineLevel="0" collapsed="false">
      <c r="L268" s="0" t="n">
        <v>263</v>
      </c>
      <c r="M268" s="37" t="str">
        <f aca="false">IF(L268&gt;$B$6,"",INDEX(Example!$P$7:$P$506,MATCH(L268,Example!$AI$7:$AI$506,0)))</f>
        <v/>
      </c>
      <c r="N268" s="0" t="str">
        <f aca="false">IF(L268&gt;$B$6,"",INDEX(Example!$A$7:$A$506,MATCH(L268,Example!$AI$7:$AI$506,0)))</f>
        <v/>
      </c>
      <c r="O268" s="34" t="str">
        <f aca="false">IF(L268&gt;$B$6,"",INDEX(Example!$AC$7:$AC$506,MATCH(L268,Example!$AI$7:$AI$506,0)))</f>
        <v/>
      </c>
      <c r="P268" s="35" t="str">
        <f aca="false">IF(L268&gt;$B$6,"",INDEX(Example!$AD$7:$AD$506,MATCH(L268,Example!$AI$7:$AI$506,0)))</f>
        <v/>
      </c>
      <c r="Q268" s="34" t="n">
        <f aca="false">IF(L268&gt;$B$6,Q267,Q267+O268)</f>
        <v>22057.5</v>
      </c>
      <c r="R268" s="34" t="str">
        <f aca="false">IF(L268&gt;$B$6,"",Q268-MAX($Q$5:Q268))</f>
        <v/>
      </c>
    </row>
    <row r="269" customFormat="false" ht="15" hidden="false" customHeight="false" outlineLevel="0" collapsed="false">
      <c r="L269" s="0" t="n">
        <v>264</v>
      </c>
      <c r="M269" s="37" t="str">
        <f aca="false">IF(L269&gt;$B$6,"",INDEX(Example!$P$7:$P$506,MATCH(L269,Example!$AI$7:$AI$506,0)))</f>
        <v/>
      </c>
      <c r="N269" s="0" t="str">
        <f aca="false">IF(L269&gt;$B$6,"",INDEX(Example!$A$7:$A$506,MATCH(L269,Example!$AI$7:$AI$506,0)))</f>
        <v/>
      </c>
      <c r="O269" s="34" t="str">
        <f aca="false">IF(L269&gt;$B$6,"",INDEX(Example!$AC$7:$AC$506,MATCH(L269,Example!$AI$7:$AI$506,0)))</f>
        <v/>
      </c>
      <c r="P269" s="35" t="str">
        <f aca="false">IF(L269&gt;$B$6,"",INDEX(Example!$AD$7:$AD$506,MATCH(L269,Example!$AI$7:$AI$506,0)))</f>
        <v/>
      </c>
      <c r="Q269" s="34" t="n">
        <f aca="false">IF(L269&gt;$B$6,Q268,Q268+O269)</f>
        <v>22057.5</v>
      </c>
      <c r="R269" s="34" t="str">
        <f aca="false">IF(L269&gt;$B$6,"",Q269-MAX($Q$5:Q269))</f>
        <v/>
      </c>
    </row>
    <row r="270" customFormat="false" ht="15" hidden="false" customHeight="false" outlineLevel="0" collapsed="false">
      <c r="L270" s="0" t="n">
        <v>265</v>
      </c>
      <c r="M270" s="37" t="str">
        <f aca="false">IF(L270&gt;$B$6,"",INDEX(Example!$P$7:$P$506,MATCH(L270,Example!$AI$7:$AI$506,0)))</f>
        <v/>
      </c>
      <c r="N270" s="0" t="str">
        <f aca="false">IF(L270&gt;$B$6,"",INDEX(Example!$A$7:$A$506,MATCH(L270,Example!$AI$7:$AI$506,0)))</f>
        <v/>
      </c>
      <c r="O270" s="34" t="str">
        <f aca="false">IF(L270&gt;$B$6,"",INDEX(Example!$AC$7:$AC$506,MATCH(L270,Example!$AI$7:$AI$506,0)))</f>
        <v/>
      </c>
      <c r="P270" s="35" t="str">
        <f aca="false">IF(L270&gt;$B$6,"",INDEX(Example!$AD$7:$AD$506,MATCH(L270,Example!$AI$7:$AI$506,0)))</f>
        <v/>
      </c>
      <c r="Q270" s="34" t="n">
        <f aca="false">IF(L270&gt;$B$6,Q269,Q269+O270)</f>
        <v>22057.5</v>
      </c>
      <c r="R270" s="34" t="str">
        <f aca="false">IF(L270&gt;$B$6,"",Q270-MAX($Q$5:Q270))</f>
        <v/>
      </c>
    </row>
    <row r="271" customFormat="false" ht="15" hidden="false" customHeight="false" outlineLevel="0" collapsed="false">
      <c r="L271" s="0" t="n">
        <v>266</v>
      </c>
      <c r="M271" s="37" t="str">
        <f aca="false">IF(L271&gt;$B$6,"",INDEX(Example!$P$7:$P$506,MATCH(L271,Example!$AI$7:$AI$506,0)))</f>
        <v/>
      </c>
      <c r="N271" s="0" t="str">
        <f aca="false">IF(L271&gt;$B$6,"",INDEX(Example!$A$7:$A$506,MATCH(L271,Example!$AI$7:$AI$506,0)))</f>
        <v/>
      </c>
      <c r="O271" s="34" t="str">
        <f aca="false">IF(L271&gt;$B$6,"",INDEX(Example!$AC$7:$AC$506,MATCH(L271,Example!$AI$7:$AI$506,0)))</f>
        <v/>
      </c>
      <c r="P271" s="35" t="str">
        <f aca="false">IF(L271&gt;$B$6,"",INDEX(Example!$AD$7:$AD$506,MATCH(L271,Example!$AI$7:$AI$506,0)))</f>
        <v/>
      </c>
      <c r="Q271" s="34" t="n">
        <f aca="false">IF(L271&gt;$B$6,Q270,Q270+O271)</f>
        <v>22057.5</v>
      </c>
      <c r="R271" s="34" t="str">
        <f aca="false">IF(L271&gt;$B$6,"",Q271-MAX($Q$5:Q271))</f>
        <v/>
      </c>
    </row>
    <row r="272" customFormat="false" ht="15" hidden="false" customHeight="false" outlineLevel="0" collapsed="false">
      <c r="L272" s="0" t="n">
        <v>267</v>
      </c>
      <c r="M272" s="37" t="str">
        <f aca="false">IF(L272&gt;$B$6,"",INDEX(Example!$P$7:$P$506,MATCH(L272,Example!$AI$7:$AI$506,0)))</f>
        <v/>
      </c>
      <c r="N272" s="0" t="str">
        <f aca="false">IF(L272&gt;$B$6,"",INDEX(Example!$A$7:$A$506,MATCH(L272,Example!$AI$7:$AI$506,0)))</f>
        <v/>
      </c>
      <c r="O272" s="34" t="str">
        <f aca="false">IF(L272&gt;$B$6,"",INDEX(Example!$AC$7:$AC$506,MATCH(L272,Example!$AI$7:$AI$506,0)))</f>
        <v/>
      </c>
      <c r="P272" s="35" t="str">
        <f aca="false">IF(L272&gt;$B$6,"",INDEX(Example!$AD$7:$AD$506,MATCH(L272,Example!$AI$7:$AI$506,0)))</f>
        <v/>
      </c>
      <c r="Q272" s="34" t="n">
        <f aca="false">IF(L272&gt;$B$6,Q271,Q271+O272)</f>
        <v>22057.5</v>
      </c>
      <c r="R272" s="34" t="str">
        <f aca="false">IF(L272&gt;$B$6,"",Q272-MAX($Q$5:Q272))</f>
        <v/>
      </c>
    </row>
    <row r="273" customFormat="false" ht="15" hidden="false" customHeight="false" outlineLevel="0" collapsed="false">
      <c r="L273" s="0" t="n">
        <v>268</v>
      </c>
      <c r="M273" s="37" t="str">
        <f aca="false">IF(L273&gt;$B$6,"",INDEX(Example!$P$7:$P$506,MATCH(L273,Example!$AI$7:$AI$506,0)))</f>
        <v/>
      </c>
      <c r="N273" s="0" t="str">
        <f aca="false">IF(L273&gt;$B$6,"",INDEX(Example!$A$7:$A$506,MATCH(L273,Example!$AI$7:$AI$506,0)))</f>
        <v/>
      </c>
      <c r="O273" s="34" t="str">
        <f aca="false">IF(L273&gt;$B$6,"",INDEX(Example!$AC$7:$AC$506,MATCH(L273,Example!$AI$7:$AI$506,0)))</f>
        <v/>
      </c>
      <c r="P273" s="35" t="str">
        <f aca="false">IF(L273&gt;$B$6,"",INDEX(Example!$AD$7:$AD$506,MATCH(L273,Example!$AI$7:$AI$506,0)))</f>
        <v/>
      </c>
      <c r="Q273" s="34" t="n">
        <f aca="false">IF(L273&gt;$B$6,Q272,Q272+O273)</f>
        <v>22057.5</v>
      </c>
      <c r="R273" s="34" t="str">
        <f aca="false">IF(L273&gt;$B$6,"",Q273-MAX($Q$5:Q273))</f>
        <v/>
      </c>
    </row>
    <row r="274" customFormat="false" ht="15" hidden="false" customHeight="false" outlineLevel="0" collapsed="false">
      <c r="L274" s="0" t="n">
        <v>269</v>
      </c>
      <c r="M274" s="37" t="str">
        <f aca="false">IF(L274&gt;$B$6,"",INDEX(Example!$P$7:$P$506,MATCH(L274,Example!$AI$7:$AI$506,0)))</f>
        <v/>
      </c>
      <c r="N274" s="0" t="str">
        <f aca="false">IF(L274&gt;$B$6,"",INDEX(Example!$A$7:$A$506,MATCH(L274,Example!$AI$7:$AI$506,0)))</f>
        <v/>
      </c>
      <c r="O274" s="34" t="str">
        <f aca="false">IF(L274&gt;$B$6,"",INDEX(Example!$AC$7:$AC$506,MATCH(L274,Example!$AI$7:$AI$506,0)))</f>
        <v/>
      </c>
      <c r="P274" s="35" t="str">
        <f aca="false">IF(L274&gt;$B$6,"",INDEX(Example!$AD$7:$AD$506,MATCH(L274,Example!$AI$7:$AI$506,0)))</f>
        <v/>
      </c>
      <c r="Q274" s="34" t="n">
        <f aca="false">IF(L274&gt;$B$6,Q273,Q273+O274)</f>
        <v>22057.5</v>
      </c>
      <c r="R274" s="34" t="str">
        <f aca="false">IF(L274&gt;$B$6,"",Q274-MAX($Q$5:Q274))</f>
        <v/>
      </c>
    </row>
    <row r="275" customFormat="false" ht="15" hidden="false" customHeight="false" outlineLevel="0" collapsed="false">
      <c r="L275" s="0" t="n">
        <v>270</v>
      </c>
      <c r="M275" s="37" t="str">
        <f aca="false">IF(L275&gt;$B$6,"",INDEX(Example!$P$7:$P$506,MATCH(L275,Example!$AI$7:$AI$506,0)))</f>
        <v/>
      </c>
      <c r="N275" s="0" t="str">
        <f aca="false">IF(L275&gt;$B$6,"",INDEX(Example!$A$7:$A$506,MATCH(L275,Example!$AI$7:$AI$506,0)))</f>
        <v/>
      </c>
      <c r="O275" s="34" t="str">
        <f aca="false">IF(L275&gt;$B$6,"",INDEX(Example!$AC$7:$AC$506,MATCH(L275,Example!$AI$7:$AI$506,0)))</f>
        <v/>
      </c>
      <c r="P275" s="35" t="str">
        <f aca="false">IF(L275&gt;$B$6,"",INDEX(Example!$AD$7:$AD$506,MATCH(L275,Example!$AI$7:$AI$506,0)))</f>
        <v/>
      </c>
      <c r="Q275" s="34" t="n">
        <f aca="false">IF(L275&gt;$B$6,Q274,Q274+O275)</f>
        <v>22057.5</v>
      </c>
      <c r="R275" s="34" t="str">
        <f aca="false">IF(L275&gt;$B$6,"",Q275-MAX($Q$5:Q275))</f>
        <v/>
      </c>
    </row>
    <row r="276" customFormat="false" ht="15" hidden="false" customHeight="false" outlineLevel="0" collapsed="false">
      <c r="L276" s="0" t="n">
        <v>271</v>
      </c>
      <c r="M276" s="37" t="str">
        <f aca="false">IF(L276&gt;$B$6,"",INDEX(Example!$P$7:$P$506,MATCH(L276,Example!$AI$7:$AI$506,0)))</f>
        <v/>
      </c>
      <c r="N276" s="0" t="str">
        <f aca="false">IF(L276&gt;$B$6,"",INDEX(Example!$A$7:$A$506,MATCH(L276,Example!$AI$7:$AI$506,0)))</f>
        <v/>
      </c>
      <c r="O276" s="34" t="str">
        <f aca="false">IF(L276&gt;$B$6,"",INDEX(Example!$AC$7:$AC$506,MATCH(L276,Example!$AI$7:$AI$506,0)))</f>
        <v/>
      </c>
      <c r="P276" s="35" t="str">
        <f aca="false">IF(L276&gt;$B$6,"",INDEX(Example!$AD$7:$AD$506,MATCH(L276,Example!$AI$7:$AI$506,0)))</f>
        <v/>
      </c>
      <c r="Q276" s="34" t="n">
        <f aca="false">IF(L276&gt;$B$6,Q275,Q275+O276)</f>
        <v>22057.5</v>
      </c>
      <c r="R276" s="34" t="str">
        <f aca="false">IF(L276&gt;$B$6,"",Q276-MAX($Q$5:Q276))</f>
        <v/>
      </c>
    </row>
    <row r="277" customFormat="false" ht="15" hidden="false" customHeight="false" outlineLevel="0" collapsed="false">
      <c r="L277" s="0" t="n">
        <v>272</v>
      </c>
      <c r="M277" s="37" t="str">
        <f aca="false">IF(L277&gt;$B$6,"",INDEX(Example!$P$7:$P$506,MATCH(L277,Example!$AI$7:$AI$506,0)))</f>
        <v/>
      </c>
      <c r="N277" s="0" t="str">
        <f aca="false">IF(L277&gt;$B$6,"",INDEX(Example!$A$7:$A$506,MATCH(L277,Example!$AI$7:$AI$506,0)))</f>
        <v/>
      </c>
      <c r="O277" s="34" t="str">
        <f aca="false">IF(L277&gt;$B$6,"",INDEX(Example!$AC$7:$AC$506,MATCH(L277,Example!$AI$7:$AI$506,0)))</f>
        <v/>
      </c>
      <c r="P277" s="35" t="str">
        <f aca="false">IF(L277&gt;$B$6,"",INDEX(Example!$AD$7:$AD$506,MATCH(L277,Example!$AI$7:$AI$506,0)))</f>
        <v/>
      </c>
      <c r="Q277" s="34" t="n">
        <f aca="false">IF(L277&gt;$B$6,Q276,Q276+O277)</f>
        <v>22057.5</v>
      </c>
      <c r="R277" s="34" t="str">
        <f aca="false">IF(L277&gt;$B$6,"",Q277-MAX($Q$5:Q277))</f>
        <v/>
      </c>
    </row>
    <row r="278" customFormat="false" ht="15" hidden="false" customHeight="false" outlineLevel="0" collapsed="false">
      <c r="L278" s="0" t="n">
        <v>273</v>
      </c>
      <c r="M278" s="37" t="str">
        <f aca="false">IF(L278&gt;$B$6,"",INDEX(Example!$P$7:$P$506,MATCH(L278,Example!$AI$7:$AI$506,0)))</f>
        <v/>
      </c>
      <c r="N278" s="0" t="str">
        <f aca="false">IF(L278&gt;$B$6,"",INDEX(Example!$A$7:$A$506,MATCH(L278,Example!$AI$7:$AI$506,0)))</f>
        <v/>
      </c>
      <c r="O278" s="34" t="str">
        <f aca="false">IF(L278&gt;$B$6,"",INDEX(Example!$AC$7:$AC$506,MATCH(L278,Example!$AI$7:$AI$506,0)))</f>
        <v/>
      </c>
      <c r="P278" s="35" t="str">
        <f aca="false">IF(L278&gt;$B$6,"",INDEX(Example!$AD$7:$AD$506,MATCH(L278,Example!$AI$7:$AI$506,0)))</f>
        <v/>
      </c>
      <c r="Q278" s="34" t="n">
        <f aca="false">IF(L278&gt;$B$6,Q277,Q277+O278)</f>
        <v>22057.5</v>
      </c>
      <c r="R278" s="34" t="str">
        <f aca="false">IF(L278&gt;$B$6,"",Q278-MAX($Q$5:Q278))</f>
        <v/>
      </c>
    </row>
    <row r="279" customFormat="false" ht="15" hidden="false" customHeight="false" outlineLevel="0" collapsed="false">
      <c r="L279" s="0" t="n">
        <v>274</v>
      </c>
      <c r="M279" s="37" t="str">
        <f aca="false">IF(L279&gt;$B$6,"",INDEX(Example!$P$7:$P$506,MATCH(L279,Example!$AI$7:$AI$506,0)))</f>
        <v/>
      </c>
      <c r="N279" s="0" t="str">
        <f aca="false">IF(L279&gt;$B$6,"",INDEX(Example!$A$7:$A$506,MATCH(L279,Example!$AI$7:$AI$506,0)))</f>
        <v/>
      </c>
      <c r="O279" s="34" t="str">
        <f aca="false">IF(L279&gt;$B$6,"",INDEX(Example!$AC$7:$AC$506,MATCH(L279,Example!$AI$7:$AI$506,0)))</f>
        <v/>
      </c>
      <c r="P279" s="35" t="str">
        <f aca="false">IF(L279&gt;$B$6,"",INDEX(Example!$AD$7:$AD$506,MATCH(L279,Example!$AI$7:$AI$506,0)))</f>
        <v/>
      </c>
      <c r="Q279" s="34" t="n">
        <f aca="false">IF(L279&gt;$B$6,Q278,Q278+O279)</f>
        <v>22057.5</v>
      </c>
      <c r="R279" s="34" t="str">
        <f aca="false">IF(L279&gt;$B$6,"",Q279-MAX($Q$5:Q279))</f>
        <v/>
      </c>
    </row>
    <row r="280" customFormat="false" ht="15" hidden="false" customHeight="false" outlineLevel="0" collapsed="false">
      <c r="L280" s="0" t="n">
        <v>275</v>
      </c>
      <c r="M280" s="37" t="str">
        <f aca="false">IF(L280&gt;$B$6,"",INDEX(Example!$P$7:$P$506,MATCH(L280,Example!$AI$7:$AI$506,0)))</f>
        <v/>
      </c>
      <c r="N280" s="0" t="str">
        <f aca="false">IF(L280&gt;$B$6,"",INDEX(Example!$A$7:$A$506,MATCH(L280,Example!$AI$7:$AI$506,0)))</f>
        <v/>
      </c>
      <c r="O280" s="34" t="str">
        <f aca="false">IF(L280&gt;$B$6,"",INDEX(Example!$AC$7:$AC$506,MATCH(L280,Example!$AI$7:$AI$506,0)))</f>
        <v/>
      </c>
      <c r="P280" s="35" t="str">
        <f aca="false">IF(L280&gt;$B$6,"",INDEX(Example!$AD$7:$AD$506,MATCH(L280,Example!$AI$7:$AI$506,0)))</f>
        <v/>
      </c>
      <c r="Q280" s="34" t="n">
        <f aca="false">IF(L280&gt;$B$6,Q279,Q279+O280)</f>
        <v>22057.5</v>
      </c>
      <c r="R280" s="34" t="str">
        <f aca="false">IF(L280&gt;$B$6,"",Q280-MAX($Q$5:Q280))</f>
        <v/>
      </c>
    </row>
    <row r="281" customFormat="false" ht="15" hidden="false" customHeight="false" outlineLevel="0" collapsed="false">
      <c r="L281" s="0" t="n">
        <v>276</v>
      </c>
      <c r="M281" s="37" t="str">
        <f aca="false">IF(L281&gt;$B$6,"",INDEX(Example!$P$7:$P$506,MATCH(L281,Example!$AI$7:$AI$506,0)))</f>
        <v/>
      </c>
      <c r="N281" s="0" t="str">
        <f aca="false">IF(L281&gt;$B$6,"",INDEX(Example!$A$7:$A$506,MATCH(L281,Example!$AI$7:$AI$506,0)))</f>
        <v/>
      </c>
      <c r="O281" s="34" t="str">
        <f aca="false">IF(L281&gt;$B$6,"",INDEX(Example!$AC$7:$AC$506,MATCH(L281,Example!$AI$7:$AI$506,0)))</f>
        <v/>
      </c>
      <c r="P281" s="35" t="str">
        <f aca="false">IF(L281&gt;$B$6,"",INDEX(Example!$AD$7:$AD$506,MATCH(L281,Example!$AI$7:$AI$506,0)))</f>
        <v/>
      </c>
      <c r="Q281" s="34" t="n">
        <f aca="false">IF(L281&gt;$B$6,Q280,Q280+O281)</f>
        <v>22057.5</v>
      </c>
      <c r="R281" s="34" t="str">
        <f aca="false">IF(L281&gt;$B$6,"",Q281-MAX($Q$5:Q281))</f>
        <v/>
      </c>
    </row>
    <row r="282" customFormat="false" ht="15" hidden="false" customHeight="false" outlineLevel="0" collapsed="false">
      <c r="L282" s="0" t="n">
        <v>277</v>
      </c>
      <c r="M282" s="37" t="str">
        <f aca="false">IF(L282&gt;$B$6,"",INDEX(Example!$P$7:$P$506,MATCH(L282,Example!$AI$7:$AI$506,0)))</f>
        <v/>
      </c>
      <c r="N282" s="0" t="str">
        <f aca="false">IF(L282&gt;$B$6,"",INDEX(Example!$A$7:$A$506,MATCH(L282,Example!$AI$7:$AI$506,0)))</f>
        <v/>
      </c>
      <c r="O282" s="34" t="str">
        <f aca="false">IF(L282&gt;$B$6,"",INDEX(Example!$AC$7:$AC$506,MATCH(L282,Example!$AI$7:$AI$506,0)))</f>
        <v/>
      </c>
      <c r="P282" s="35" t="str">
        <f aca="false">IF(L282&gt;$B$6,"",INDEX(Example!$AD$7:$AD$506,MATCH(L282,Example!$AI$7:$AI$506,0)))</f>
        <v/>
      </c>
      <c r="Q282" s="34" t="n">
        <f aca="false">IF(L282&gt;$B$6,Q281,Q281+O282)</f>
        <v>22057.5</v>
      </c>
      <c r="R282" s="34" t="str">
        <f aca="false">IF(L282&gt;$B$6,"",Q282-MAX($Q$5:Q282))</f>
        <v/>
      </c>
    </row>
    <row r="283" customFormat="false" ht="15" hidden="false" customHeight="false" outlineLevel="0" collapsed="false">
      <c r="L283" s="0" t="n">
        <v>278</v>
      </c>
      <c r="M283" s="37" t="str">
        <f aca="false">IF(L283&gt;$B$6,"",INDEX(Example!$P$7:$P$506,MATCH(L283,Example!$AI$7:$AI$506,0)))</f>
        <v/>
      </c>
      <c r="N283" s="0" t="str">
        <f aca="false">IF(L283&gt;$B$6,"",INDEX(Example!$A$7:$A$506,MATCH(L283,Example!$AI$7:$AI$506,0)))</f>
        <v/>
      </c>
      <c r="O283" s="34" t="str">
        <f aca="false">IF(L283&gt;$B$6,"",INDEX(Example!$AC$7:$AC$506,MATCH(L283,Example!$AI$7:$AI$506,0)))</f>
        <v/>
      </c>
      <c r="P283" s="35" t="str">
        <f aca="false">IF(L283&gt;$B$6,"",INDEX(Example!$AD$7:$AD$506,MATCH(L283,Example!$AI$7:$AI$506,0)))</f>
        <v/>
      </c>
      <c r="Q283" s="34" t="n">
        <f aca="false">IF(L283&gt;$B$6,Q282,Q282+O283)</f>
        <v>22057.5</v>
      </c>
      <c r="R283" s="34" t="str">
        <f aca="false">IF(L283&gt;$B$6,"",Q283-MAX($Q$5:Q283))</f>
        <v/>
      </c>
    </row>
    <row r="284" customFormat="false" ht="15" hidden="false" customHeight="false" outlineLevel="0" collapsed="false">
      <c r="L284" s="0" t="n">
        <v>279</v>
      </c>
      <c r="M284" s="37" t="str">
        <f aca="false">IF(L284&gt;$B$6,"",INDEX(Example!$P$7:$P$506,MATCH(L284,Example!$AI$7:$AI$506,0)))</f>
        <v/>
      </c>
      <c r="N284" s="0" t="str">
        <f aca="false">IF(L284&gt;$B$6,"",INDEX(Example!$A$7:$A$506,MATCH(L284,Example!$AI$7:$AI$506,0)))</f>
        <v/>
      </c>
      <c r="O284" s="34" t="str">
        <f aca="false">IF(L284&gt;$B$6,"",INDEX(Example!$AC$7:$AC$506,MATCH(L284,Example!$AI$7:$AI$506,0)))</f>
        <v/>
      </c>
      <c r="P284" s="35" t="str">
        <f aca="false">IF(L284&gt;$B$6,"",INDEX(Example!$AD$7:$AD$506,MATCH(L284,Example!$AI$7:$AI$506,0)))</f>
        <v/>
      </c>
      <c r="Q284" s="34" t="n">
        <f aca="false">IF(L284&gt;$B$6,Q283,Q283+O284)</f>
        <v>22057.5</v>
      </c>
      <c r="R284" s="34" t="str">
        <f aca="false">IF(L284&gt;$B$6,"",Q284-MAX($Q$5:Q284))</f>
        <v/>
      </c>
    </row>
    <row r="285" customFormat="false" ht="15" hidden="false" customHeight="false" outlineLevel="0" collapsed="false">
      <c r="L285" s="0" t="n">
        <v>280</v>
      </c>
      <c r="M285" s="37" t="str">
        <f aca="false">IF(L285&gt;$B$6,"",INDEX(Example!$P$7:$P$506,MATCH(L285,Example!$AI$7:$AI$506,0)))</f>
        <v/>
      </c>
      <c r="N285" s="0" t="str">
        <f aca="false">IF(L285&gt;$B$6,"",INDEX(Example!$A$7:$A$506,MATCH(L285,Example!$AI$7:$AI$506,0)))</f>
        <v/>
      </c>
      <c r="O285" s="34" t="str">
        <f aca="false">IF(L285&gt;$B$6,"",INDEX(Example!$AC$7:$AC$506,MATCH(L285,Example!$AI$7:$AI$506,0)))</f>
        <v/>
      </c>
      <c r="P285" s="35" t="str">
        <f aca="false">IF(L285&gt;$B$6,"",INDEX(Example!$AD$7:$AD$506,MATCH(L285,Example!$AI$7:$AI$506,0)))</f>
        <v/>
      </c>
      <c r="Q285" s="34" t="n">
        <f aca="false">IF(L285&gt;$B$6,Q284,Q284+O285)</f>
        <v>22057.5</v>
      </c>
      <c r="R285" s="34" t="str">
        <f aca="false">IF(L285&gt;$B$6,"",Q285-MAX($Q$5:Q285))</f>
        <v/>
      </c>
    </row>
    <row r="286" customFormat="false" ht="15" hidden="false" customHeight="false" outlineLevel="0" collapsed="false">
      <c r="L286" s="0" t="n">
        <v>281</v>
      </c>
      <c r="M286" s="37" t="str">
        <f aca="false">IF(L286&gt;$B$6,"",INDEX(Example!$P$7:$P$506,MATCH(L286,Example!$AI$7:$AI$506,0)))</f>
        <v/>
      </c>
      <c r="N286" s="0" t="str">
        <f aca="false">IF(L286&gt;$B$6,"",INDEX(Example!$A$7:$A$506,MATCH(L286,Example!$AI$7:$AI$506,0)))</f>
        <v/>
      </c>
      <c r="O286" s="34" t="str">
        <f aca="false">IF(L286&gt;$B$6,"",INDEX(Example!$AC$7:$AC$506,MATCH(L286,Example!$AI$7:$AI$506,0)))</f>
        <v/>
      </c>
      <c r="P286" s="35" t="str">
        <f aca="false">IF(L286&gt;$B$6,"",INDEX(Example!$AD$7:$AD$506,MATCH(L286,Example!$AI$7:$AI$506,0)))</f>
        <v/>
      </c>
      <c r="Q286" s="34" t="n">
        <f aca="false">IF(L286&gt;$B$6,Q285,Q285+O286)</f>
        <v>22057.5</v>
      </c>
      <c r="R286" s="34" t="str">
        <f aca="false">IF(L286&gt;$B$6,"",Q286-MAX($Q$5:Q286))</f>
        <v/>
      </c>
    </row>
    <row r="287" customFormat="false" ht="15" hidden="false" customHeight="false" outlineLevel="0" collapsed="false">
      <c r="L287" s="0" t="n">
        <v>282</v>
      </c>
      <c r="M287" s="37" t="str">
        <f aca="false">IF(L287&gt;$B$6,"",INDEX(Example!$P$7:$P$506,MATCH(L287,Example!$AI$7:$AI$506,0)))</f>
        <v/>
      </c>
      <c r="N287" s="0" t="str">
        <f aca="false">IF(L287&gt;$B$6,"",INDEX(Example!$A$7:$A$506,MATCH(L287,Example!$AI$7:$AI$506,0)))</f>
        <v/>
      </c>
      <c r="O287" s="34" t="str">
        <f aca="false">IF(L287&gt;$B$6,"",INDEX(Example!$AC$7:$AC$506,MATCH(L287,Example!$AI$7:$AI$506,0)))</f>
        <v/>
      </c>
      <c r="P287" s="35" t="str">
        <f aca="false">IF(L287&gt;$B$6,"",INDEX(Example!$AD$7:$AD$506,MATCH(L287,Example!$AI$7:$AI$506,0)))</f>
        <v/>
      </c>
      <c r="Q287" s="34" t="n">
        <f aca="false">IF(L287&gt;$B$6,Q286,Q286+O287)</f>
        <v>22057.5</v>
      </c>
      <c r="R287" s="34" t="str">
        <f aca="false">IF(L287&gt;$B$6,"",Q287-MAX($Q$5:Q287))</f>
        <v/>
      </c>
    </row>
    <row r="288" customFormat="false" ht="15" hidden="false" customHeight="false" outlineLevel="0" collapsed="false">
      <c r="L288" s="0" t="n">
        <v>283</v>
      </c>
      <c r="M288" s="37" t="str">
        <f aca="false">IF(L288&gt;$B$6,"",INDEX(Example!$P$7:$P$506,MATCH(L288,Example!$AI$7:$AI$506,0)))</f>
        <v/>
      </c>
      <c r="N288" s="0" t="str">
        <f aca="false">IF(L288&gt;$B$6,"",INDEX(Example!$A$7:$A$506,MATCH(L288,Example!$AI$7:$AI$506,0)))</f>
        <v/>
      </c>
      <c r="O288" s="34" t="str">
        <f aca="false">IF(L288&gt;$B$6,"",INDEX(Example!$AC$7:$AC$506,MATCH(L288,Example!$AI$7:$AI$506,0)))</f>
        <v/>
      </c>
      <c r="P288" s="35" t="str">
        <f aca="false">IF(L288&gt;$B$6,"",INDEX(Example!$AD$7:$AD$506,MATCH(L288,Example!$AI$7:$AI$506,0)))</f>
        <v/>
      </c>
      <c r="Q288" s="34" t="n">
        <f aca="false">IF(L288&gt;$B$6,Q287,Q287+O288)</f>
        <v>22057.5</v>
      </c>
      <c r="R288" s="34" t="str">
        <f aca="false">IF(L288&gt;$B$6,"",Q288-MAX($Q$5:Q288))</f>
        <v/>
      </c>
    </row>
    <row r="289" customFormat="false" ht="15" hidden="false" customHeight="false" outlineLevel="0" collapsed="false">
      <c r="L289" s="0" t="n">
        <v>284</v>
      </c>
      <c r="M289" s="37" t="str">
        <f aca="false">IF(L289&gt;$B$6,"",INDEX(Example!$P$7:$P$506,MATCH(L289,Example!$AI$7:$AI$506,0)))</f>
        <v/>
      </c>
      <c r="N289" s="0" t="str">
        <f aca="false">IF(L289&gt;$B$6,"",INDEX(Example!$A$7:$A$506,MATCH(L289,Example!$AI$7:$AI$506,0)))</f>
        <v/>
      </c>
      <c r="O289" s="34" t="str">
        <f aca="false">IF(L289&gt;$B$6,"",INDEX(Example!$AC$7:$AC$506,MATCH(L289,Example!$AI$7:$AI$506,0)))</f>
        <v/>
      </c>
      <c r="P289" s="35" t="str">
        <f aca="false">IF(L289&gt;$B$6,"",INDEX(Example!$AD$7:$AD$506,MATCH(L289,Example!$AI$7:$AI$506,0)))</f>
        <v/>
      </c>
      <c r="Q289" s="34" t="n">
        <f aca="false">IF(L289&gt;$B$6,Q288,Q288+O289)</f>
        <v>22057.5</v>
      </c>
      <c r="R289" s="34" t="str">
        <f aca="false">IF(L289&gt;$B$6,"",Q289-MAX($Q$5:Q289))</f>
        <v/>
      </c>
    </row>
    <row r="290" customFormat="false" ht="15" hidden="false" customHeight="false" outlineLevel="0" collapsed="false">
      <c r="L290" s="0" t="n">
        <v>285</v>
      </c>
      <c r="M290" s="37" t="str">
        <f aca="false">IF(L290&gt;$B$6,"",INDEX(Example!$P$7:$P$506,MATCH(L290,Example!$AI$7:$AI$506,0)))</f>
        <v/>
      </c>
      <c r="N290" s="0" t="str">
        <f aca="false">IF(L290&gt;$B$6,"",INDEX(Example!$A$7:$A$506,MATCH(L290,Example!$AI$7:$AI$506,0)))</f>
        <v/>
      </c>
      <c r="O290" s="34" t="str">
        <f aca="false">IF(L290&gt;$B$6,"",INDEX(Example!$AC$7:$AC$506,MATCH(L290,Example!$AI$7:$AI$506,0)))</f>
        <v/>
      </c>
      <c r="P290" s="35" t="str">
        <f aca="false">IF(L290&gt;$B$6,"",INDEX(Example!$AD$7:$AD$506,MATCH(L290,Example!$AI$7:$AI$506,0)))</f>
        <v/>
      </c>
      <c r="Q290" s="34" t="n">
        <f aca="false">IF(L290&gt;$B$6,Q289,Q289+O290)</f>
        <v>22057.5</v>
      </c>
      <c r="R290" s="34" t="str">
        <f aca="false">IF(L290&gt;$B$6,"",Q290-MAX($Q$5:Q290))</f>
        <v/>
      </c>
    </row>
    <row r="291" customFormat="false" ht="15" hidden="false" customHeight="false" outlineLevel="0" collapsed="false">
      <c r="L291" s="0" t="n">
        <v>286</v>
      </c>
      <c r="M291" s="37" t="str">
        <f aca="false">IF(L291&gt;$B$6,"",INDEX(Example!$P$7:$P$506,MATCH(L291,Example!$AI$7:$AI$506,0)))</f>
        <v/>
      </c>
      <c r="N291" s="0" t="str">
        <f aca="false">IF(L291&gt;$B$6,"",INDEX(Example!$A$7:$A$506,MATCH(L291,Example!$AI$7:$AI$506,0)))</f>
        <v/>
      </c>
      <c r="O291" s="34" t="str">
        <f aca="false">IF(L291&gt;$B$6,"",INDEX(Example!$AC$7:$AC$506,MATCH(L291,Example!$AI$7:$AI$506,0)))</f>
        <v/>
      </c>
      <c r="P291" s="35" t="str">
        <f aca="false">IF(L291&gt;$B$6,"",INDEX(Example!$AD$7:$AD$506,MATCH(L291,Example!$AI$7:$AI$506,0)))</f>
        <v/>
      </c>
      <c r="Q291" s="34" t="n">
        <f aca="false">IF(L291&gt;$B$6,Q290,Q290+O291)</f>
        <v>22057.5</v>
      </c>
      <c r="R291" s="34" t="str">
        <f aca="false">IF(L291&gt;$B$6,"",Q291-MAX($Q$5:Q291))</f>
        <v/>
      </c>
    </row>
    <row r="292" customFormat="false" ht="15" hidden="false" customHeight="false" outlineLevel="0" collapsed="false">
      <c r="L292" s="0" t="n">
        <v>287</v>
      </c>
      <c r="M292" s="37" t="str">
        <f aca="false">IF(L292&gt;$B$6,"",INDEX(Example!$P$7:$P$506,MATCH(L292,Example!$AI$7:$AI$506,0)))</f>
        <v/>
      </c>
      <c r="N292" s="0" t="str">
        <f aca="false">IF(L292&gt;$B$6,"",INDEX(Example!$A$7:$A$506,MATCH(L292,Example!$AI$7:$AI$506,0)))</f>
        <v/>
      </c>
      <c r="O292" s="34" t="str">
        <f aca="false">IF(L292&gt;$B$6,"",INDEX(Example!$AC$7:$AC$506,MATCH(L292,Example!$AI$7:$AI$506,0)))</f>
        <v/>
      </c>
      <c r="P292" s="35" t="str">
        <f aca="false">IF(L292&gt;$B$6,"",INDEX(Example!$AD$7:$AD$506,MATCH(L292,Example!$AI$7:$AI$506,0)))</f>
        <v/>
      </c>
      <c r="Q292" s="34" t="n">
        <f aca="false">IF(L292&gt;$B$6,Q291,Q291+O292)</f>
        <v>22057.5</v>
      </c>
      <c r="R292" s="34" t="str">
        <f aca="false">IF(L292&gt;$B$6,"",Q292-MAX($Q$5:Q292))</f>
        <v/>
      </c>
    </row>
    <row r="293" customFormat="false" ht="15" hidden="false" customHeight="false" outlineLevel="0" collapsed="false">
      <c r="L293" s="0" t="n">
        <v>288</v>
      </c>
      <c r="M293" s="37" t="str">
        <f aca="false">IF(L293&gt;$B$6,"",INDEX(Example!$P$7:$P$506,MATCH(L293,Example!$AI$7:$AI$506,0)))</f>
        <v/>
      </c>
      <c r="N293" s="0" t="str">
        <f aca="false">IF(L293&gt;$B$6,"",INDEX(Example!$A$7:$A$506,MATCH(L293,Example!$AI$7:$AI$506,0)))</f>
        <v/>
      </c>
      <c r="O293" s="34" t="str">
        <f aca="false">IF(L293&gt;$B$6,"",INDEX(Example!$AC$7:$AC$506,MATCH(L293,Example!$AI$7:$AI$506,0)))</f>
        <v/>
      </c>
      <c r="P293" s="35" t="str">
        <f aca="false">IF(L293&gt;$B$6,"",INDEX(Example!$AD$7:$AD$506,MATCH(L293,Example!$AI$7:$AI$506,0)))</f>
        <v/>
      </c>
      <c r="Q293" s="34" t="n">
        <f aca="false">IF(L293&gt;$B$6,Q292,Q292+O293)</f>
        <v>22057.5</v>
      </c>
      <c r="R293" s="34" t="str">
        <f aca="false">IF(L293&gt;$B$6,"",Q293-MAX($Q$5:Q293))</f>
        <v/>
      </c>
    </row>
    <row r="294" customFormat="false" ht="15" hidden="false" customHeight="false" outlineLevel="0" collapsed="false">
      <c r="L294" s="0" t="n">
        <v>289</v>
      </c>
      <c r="M294" s="37" t="str">
        <f aca="false">IF(L294&gt;$B$6,"",INDEX(Example!$P$7:$P$506,MATCH(L294,Example!$AI$7:$AI$506,0)))</f>
        <v/>
      </c>
      <c r="N294" s="0" t="str">
        <f aca="false">IF(L294&gt;$B$6,"",INDEX(Example!$A$7:$A$506,MATCH(L294,Example!$AI$7:$AI$506,0)))</f>
        <v/>
      </c>
      <c r="O294" s="34" t="str">
        <f aca="false">IF(L294&gt;$B$6,"",INDEX(Example!$AC$7:$AC$506,MATCH(L294,Example!$AI$7:$AI$506,0)))</f>
        <v/>
      </c>
      <c r="P294" s="35" t="str">
        <f aca="false">IF(L294&gt;$B$6,"",INDEX(Example!$AD$7:$AD$506,MATCH(L294,Example!$AI$7:$AI$506,0)))</f>
        <v/>
      </c>
      <c r="Q294" s="34" t="n">
        <f aca="false">IF(L294&gt;$B$6,Q293,Q293+O294)</f>
        <v>22057.5</v>
      </c>
      <c r="R294" s="34" t="str">
        <f aca="false">IF(L294&gt;$B$6,"",Q294-MAX($Q$5:Q294))</f>
        <v/>
      </c>
    </row>
    <row r="295" customFormat="false" ht="15" hidden="false" customHeight="false" outlineLevel="0" collapsed="false">
      <c r="L295" s="0" t="n">
        <v>290</v>
      </c>
      <c r="M295" s="37" t="str">
        <f aca="false">IF(L295&gt;$B$6,"",INDEX(Example!$P$7:$P$506,MATCH(L295,Example!$AI$7:$AI$506,0)))</f>
        <v/>
      </c>
      <c r="N295" s="0" t="str">
        <f aca="false">IF(L295&gt;$B$6,"",INDEX(Example!$A$7:$A$506,MATCH(L295,Example!$AI$7:$AI$506,0)))</f>
        <v/>
      </c>
      <c r="O295" s="34" t="str">
        <f aca="false">IF(L295&gt;$B$6,"",INDEX(Example!$AC$7:$AC$506,MATCH(L295,Example!$AI$7:$AI$506,0)))</f>
        <v/>
      </c>
      <c r="P295" s="35" t="str">
        <f aca="false">IF(L295&gt;$B$6,"",INDEX(Example!$AD$7:$AD$506,MATCH(L295,Example!$AI$7:$AI$506,0)))</f>
        <v/>
      </c>
      <c r="Q295" s="34" t="n">
        <f aca="false">IF(L295&gt;$B$6,Q294,Q294+O295)</f>
        <v>22057.5</v>
      </c>
      <c r="R295" s="34" t="str">
        <f aca="false">IF(L295&gt;$B$6,"",Q295-MAX($Q$5:Q295))</f>
        <v/>
      </c>
    </row>
    <row r="296" customFormat="false" ht="15" hidden="false" customHeight="false" outlineLevel="0" collapsed="false">
      <c r="L296" s="0" t="n">
        <v>291</v>
      </c>
      <c r="M296" s="37" t="str">
        <f aca="false">IF(L296&gt;$B$6,"",INDEX(Example!$P$7:$P$506,MATCH(L296,Example!$AI$7:$AI$506,0)))</f>
        <v/>
      </c>
      <c r="N296" s="0" t="str">
        <f aca="false">IF(L296&gt;$B$6,"",INDEX(Example!$A$7:$A$506,MATCH(L296,Example!$AI$7:$AI$506,0)))</f>
        <v/>
      </c>
      <c r="O296" s="34" t="str">
        <f aca="false">IF(L296&gt;$B$6,"",INDEX(Example!$AC$7:$AC$506,MATCH(L296,Example!$AI$7:$AI$506,0)))</f>
        <v/>
      </c>
      <c r="P296" s="35" t="str">
        <f aca="false">IF(L296&gt;$B$6,"",INDEX(Example!$AD$7:$AD$506,MATCH(L296,Example!$AI$7:$AI$506,0)))</f>
        <v/>
      </c>
      <c r="Q296" s="34" t="n">
        <f aca="false">IF(L296&gt;$B$6,Q295,Q295+O296)</f>
        <v>22057.5</v>
      </c>
      <c r="R296" s="34" t="str">
        <f aca="false">IF(L296&gt;$B$6,"",Q296-MAX($Q$5:Q296))</f>
        <v/>
      </c>
    </row>
    <row r="297" customFormat="false" ht="15" hidden="false" customHeight="false" outlineLevel="0" collapsed="false">
      <c r="L297" s="0" t="n">
        <v>292</v>
      </c>
      <c r="M297" s="37" t="str">
        <f aca="false">IF(L297&gt;$B$6,"",INDEX(Example!$P$7:$P$506,MATCH(L297,Example!$AI$7:$AI$506,0)))</f>
        <v/>
      </c>
      <c r="N297" s="0" t="str">
        <f aca="false">IF(L297&gt;$B$6,"",INDEX(Example!$A$7:$A$506,MATCH(L297,Example!$AI$7:$AI$506,0)))</f>
        <v/>
      </c>
      <c r="O297" s="34" t="str">
        <f aca="false">IF(L297&gt;$B$6,"",INDEX(Example!$AC$7:$AC$506,MATCH(L297,Example!$AI$7:$AI$506,0)))</f>
        <v/>
      </c>
      <c r="P297" s="35" t="str">
        <f aca="false">IF(L297&gt;$B$6,"",INDEX(Example!$AD$7:$AD$506,MATCH(L297,Example!$AI$7:$AI$506,0)))</f>
        <v/>
      </c>
      <c r="Q297" s="34" t="n">
        <f aca="false">IF(L297&gt;$B$6,Q296,Q296+O297)</f>
        <v>22057.5</v>
      </c>
      <c r="R297" s="34" t="str">
        <f aca="false">IF(L297&gt;$B$6,"",Q297-MAX($Q$5:Q297))</f>
        <v/>
      </c>
    </row>
    <row r="298" customFormat="false" ht="15" hidden="false" customHeight="false" outlineLevel="0" collapsed="false">
      <c r="L298" s="0" t="n">
        <v>293</v>
      </c>
      <c r="M298" s="37" t="str">
        <f aca="false">IF(L298&gt;$B$6,"",INDEX(Example!$P$7:$P$506,MATCH(L298,Example!$AI$7:$AI$506,0)))</f>
        <v/>
      </c>
      <c r="N298" s="0" t="str">
        <f aca="false">IF(L298&gt;$B$6,"",INDEX(Example!$A$7:$A$506,MATCH(L298,Example!$AI$7:$AI$506,0)))</f>
        <v/>
      </c>
      <c r="O298" s="34" t="str">
        <f aca="false">IF(L298&gt;$B$6,"",INDEX(Example!$AC$7:$AC$506,MATCH(L298,Example!$AI$7:$AI$506,0)))</f>
        <v/>
      </c>
      <c r="P298" s="35" t="str">
        <f aca="false">IF(L298&gt;$B$6,"",INDEX(Example!$AD$7:$AD$506,MATCH(L298,Example!$AI$7:$AI$506,0)))</f>
        <v/>
      </c>
      <c r="Q298" s="34" t="n">
        <f aca="false">IF(L298&gt;$B$6,Q297,Q297+O298)</f>
        <v>22057.5</v>
      </c>
      <c r="R298" s="34" t="str">
        <f aca="false">IF(L298&gt;$B$6,"",Q298-MAX($Q$5:Q298))</f>
        <v/>
      </c>
    </row>
    <row r="299" customFormat="false" ht="15" hidden="false" customHeight="false" outlineLevel="0" collapsed="false">
      <c r="L299" s="0" t="n">
        <v>294</v>
      </c>
      <c r="M299" s="37" t="str">
        <f aca="false">IF(L299&gt;$B$6,"",INDEX(Example!$P$7:$P$506,MATCH(L299,Example!$AI$7:$AI$506,0)))</f>
        <v/>
      </c>
      <c r="N299" s="0" t="str">
        <f aca="false">IF(L299&gt;$B$6,"",INDEX(Example!$A$7:$A$506,MATCH(L299,Example!$AI$7:$AI$506,0)))</f>
        <v/>
      </c>
      <c r="O299" s="34" t="str">
        <f aca="false">IF(L299&gt;$B$6,"",INDEX(Example!$AC$7:$AC$506,MATCH(L299,Example!$AI$7:$AI$506,0)))</f>
        <v/>
      </c>
      <c r="P299" s="35" t="str">
        <f aca="false">IF(L299&gt;$B$6,"",INDEX(Example!$AD$7:$AD$506,MATCH(L299,Example!$AI$7:$AI$506,0)))</f>
        <v/>
      </c>
      <c r="Q299" s="34" t="n">
        <f aca="false">IF(L299&gt;$B$6,Q298,Q298+O299)</f>
        <v>22057.5</v>
      </c>
      <c r="R299" s="34" t="str">
        <f aca="false">IF(L299&gt;$B$6,"",Q299-MAX($Q$5:Q299))</f>
        <v/>
      </c>
    </row>
    <row r="300" customFormat="false" ht="15" hidden="false" customHeight="false" outlineLevel="0" collapsed="false">
      <c r="L300" s="0" t="n">
        <v>295</v>
      </c>
      <c r="M300" s="37" t="str">
        <f aca="false">IF(L300&gt;$B$6,"",INDEX(Example!$P$7:$P$506,MATCH(L300,Example!$AI$7:$AI$506,0)))</f>
        <v/>
      </c>
      <c r="N300" s="0" t="str">
        <f aca="false">IF(L300&gt;$B$6,"",INDEX(Example!$A$7:$A$506,MATCH(L300,Example!$AI$7:$AI$506,0)))</f>
        <v/>
      </c>
      <c r="O300" s="34" t="str">
        <f aca="false">IF(L300&gt;$B$6,"",INDEX(Example!$AC$7:$AC$506,MATCH(L300,Example!$AI$7:$AI$506,0)))</f>
        <v/>
      </c>
      <c r="P300" s="35" t="str">
        <f aca="false">IF(L300&gt;$B$6,"",INDEX(Example!$AD$7:$AD$506,MATCH(L300,Example!$AI$7:$AI$506,0)))</f>
        <v/>
      </c>
      <c r="Q300" s="34" t="n">
        <f aca="false">IF(L300&gt;$B$6,Q299,Q299+O300)</f>
        <v>22057.5</v>
      </c>
      <c r="R300" s="34" t="str">
        <f aca="false">IF(L300&gt;$B$6,"",Q300-MAX($Q$5:Q300))</f>
        <v/>
      </c>
    </row>
    <row r="301" customFormat="false" ht="15" hidden="false" customHeight="false" outlineLevel="0" collapsed="false">
      <c r="L301" s="0" t="n">
        <v>296</v>
      </c>
      <c r="M301" s="37" t="str">
        <f aca="false">IF(L301&gt;$B$6,"",INDEX(Example!$P$7:$P$506,MATCH(L301,Example!$AI$7:$AI$506,0)))</f>
        <v/>
      </c>
      <c r="N301" s="0" t="str">
        <f aca="false">IF(L301&gt;$B$6,"",INDEX(Example!$A$7:$A$506,MATCH(L301,Example!$AI$7:$AI$506,0)))</f>
        <v/>
      </c>
      <c r="O301" s="34" t="str">
        <f aca="false">IF(L301&gt;$B$6,"",INDEX(Example!$AC$7:$AC$506,MATCH(L301,Example!$AI$7:$AI$506,0)))</f>
        <v/>
      </c>
      <c r="P301" s="35" t="str">
        <f aca="false">IF(L301&gt;$B$6,"",INDEX(Example!$AD$7:$AD$506,MATCH(L301,Example!$AI$7:$AI$506,0)))</f>
        <v/>
      </c>
      <c r="Q301" s="34" t="n">
        <f aca="false">IF(L301&gt;$B$6,Q300,Q300+O301)</f>
        <v>22057.5</v>
      </c>
      <c r="R301" s="34" t="str">
        <f aca="false">IF(L301&gt;$B$6,"",Q301-MAX($Q$5:Q301))</f>
        <v/>
      </c>
    </row>
    <row r="302" customFormat="false" ht="15" hidden="false" customHeight="false" outlineLevel="0" collapsed="false">
      <c r="L302" s="0" t="n">
        <v>297</v>
      </c>
      <c r="M302" s="37" t="str">
        <f aca="false">IF(L302&gt;$B$6,"",INDEX(Example!$P$7:$P$506,MATCH(L302,Example!$AI$7:$AI$506,0)))</f>
        <v/>
      </c>
      <c r="N302" s="0" t="str">
        <f aca="false">IF(L302&gt;$B$6,"",INDEX(Example!$A$7:$A$506,MATCH(L302,Example!$AI$7:$AI$506,0)))</f>
        <v/>
      </c>
      <c r="O302" s="34" t="str">
        <f aca="false">IF(L302&gt;$B$6,"",INDEX(Example!$AC$7:$AC$506,MATCH(L302,Example!$AI$7:$AI$506,0)))</f>
        <v/>
      </c>
      <c r="P302" s="35" t="str">
        <f aca="false">IF(L302&gt;$B$6,"",INDEX(Example!$AD$7:$AD$506,MATCH(L302,Example!$AI$7:$AI$506,0)))</f>
        <v/>
      </c>
      <c r="Q302" s="34" t="n">
        <f aca="false">IF(L302&gt;$B$6,Q301,Q301+O302)</f>
        <v>22057.5</v>
      </c>
      <c r="R302" s="34" t="str">
        <f aca="false">IF(L302&gt;$B$6,"",Q302-MAX($Q$5:Q302))</f>
        <v/>
      </c>
    </row>
    <row r="303" customFormat="false" ht="15" hidden="false" customHeight="false" outlineLevel="0" collapsed="false">
      <c r="L303" s="0" t="n">
        <v>298</v>
      </c>
      <c r="M303" s="37" t="str">
        <f aca="false">IF(L303&gt;$B$6,"",INDEX(Example!$P$7:$P$506,MATCH(L303,Example!$AI$7:$AI$506,0)))</f>
        <v/>
      </c>
      <c r="N303" s="0" t="str">
        <f aca="false">IF(L303&gt;$B$6,"",INDEX(Example!$A$7:$A$506,MATCH(L303,Example!$AI$7:$AI$506,0)))</f>
        <v/>
      </c>
      <c r="O303" s="34" t="str">
        <f aca="false">IF(L303&gt;$B$6,"",INDEX(Example!$AC$7:$AC$506,MATCH(L303,Example!$AI$7:$AI$506,0)))</f>
        <v/>
      </c>
      <c r="P303" s="35" t="str">
        <f aca="false">IF(L303&gt;$B$6,"",INDEX(Example!$AD$7:$AD$506,MATCH(L303,Example!$AI$7:$AI$506,0)))</f>
        <v/>
      </c>
      <c r="Q303" s="34" t="n">
        <f aca="false">IF(L303&gt;$B$6,Q302,Q302+O303)</f>
        <v>22057.5</v>
      </c>
      <c r="R303" s="34" t="str">
        <f aca="false">IF(L303&gt;$B$6,"",Q303-MAX($Q$5:Q303))</f>
        <v/>
      </c>
    </row>
    <row r="304" customFormat="false" ht="15" hidden="false" customHeight="false" outlineLevel="0" collapsed="false">
      <c r="L304" s="0" t="n">
        <v>299</v>
      </c>
      <c r="M304" s="37" t="str">
        <f aca="false">IF(L304&gt;$B$6,"",INDEX(Example!$P$7:$P$506,MATCH(L304,Example!$AI$7:$AI$506,0)))</f>
        <v/>
      </c>
      <c r="N304" s="0" t="str">
        <f aca="false">IF(L304&gt;$B$6,"",INDEX(Example!$A$7:$A$506,MATCH(L304,Example!$AI$7:$AI$506,0)))</f>
        <v/>
      </c>
      <c r="O304" s="34" t="str">
        <f aca="false">IF(L304&gt;$B$6,"",INDEX(Example!$AC$7:$AC$506,MATCH(L304,Example!$AI$7:$AI$506,0)))</f>
        <v/>
      </c>
      <c r="P304" s="35" t="str">
        <f aca="false">IF(L304&gt;$B$6,"",INDEX(Example!$AD$7:$AD$506,MATCH(L304,Example!$AI$7:$AI$506,0)))</f>
        <v/>
      </c>
      <c r="Q304" s="34" t="n">
        <f aca="false">IF(L304&gt;$B$6,Q303,Q303+O304)</f>
        <v>22057.5</v>
      </c>
      <c r="R304" s="34" t="str">
        <f aca="false">IF(L304&gt;$B$6,"",Q304-MAX($Q$5:Q304))</f>
        <v/>
      </c>
    </row>
    <row r="305" customFormat="false" ht="15" hidden="false" customHeight="false" outlineLevel="0" collapsed="false">
      <c r="L305" s="0" t="n">
        <v>300</v>
      </c>
      <c r="M305" s="37" t="str">
        <f aca="false">IF(L305&gt;$B$6,"",INDEX(Example!$P$7:$P$506,MATCH(L305,Example!$AI$7:$AI$506,0)))</f>
        <v/>
      </c>
      <c r="N305" s="0" t="str">
        <f aca="false">IF(L305&gt;$B$6,"",INDEX(Example!$A$7:$A$506,MATCH(L305,Example!$AI$7:$AI$506,0)))</f>
        <v/>
      </c>
      <c r="O305" s="34" t="str">
        <f aca="false">IF(L305&gt;$B$6,"",INDEX(Example!$AC$7:$AC$506,MATCH(L305,Example!$AI$7:$AI$506,0)))</f>
        <v/>
      </c>
      <c r="P305" s="35" t="str">
        <f aca="false">IF(L305&gt;$B$6,"",INDEX(Example!$AD$7:$AD$506,MATCH(L305,Example!$AI$7:$AI$506,0)))</f>
        <v/>
      </c>
      <c r="Q305" s="34" t="n">
        <f aca="false">IF(L305&gt;$B$6,Q304,Q304+O305)</f>
        <v>22057.5</v>
      </c>
      <c r="R305" s="34" t="str">
        <f aca="false">IF(L305&gt;$B$6,"",Q305-MAX($Q$5:Q305))</f>
        <v/>
      </c>
    </row>
    <row r="306" customFormat="false" ht="15" hidden="false" customHeight="false" outlineLevel="0" collapsed="false">
      <c r="L306" s="0" t="n">
        <v>301</v>
      </c>
      <c r="M306" s="37" t="str">
        <f aca="false">IF(L306&gt;$B$6,"",INDEX(Example!$P$7:$P$506,MATCH(L306,Example!$AI$7:$AI$506,0)))</f>
        <v/>
      </c>
      <c r="N306" s="0" t="str">
        <f aca="false">IF(L306&gt;$B$6,"",INDEX(Example!$A$7:$A$506,MATCH(L306,Example!$AI$7:$AI$506,0)))</f>
        <v/>
      </c>
      <c r="O306" s="34" t="str">
        <f aca="false">IF(L306&gt;$B$6,"",INDEX(Example!$AC$7:$AC$506,MATCH(L306,Example!$AI$7:$AI$506,0)))</f>
        <v/>
      </c>
      <c r="P306" s="35" t="str">
        <f aca="false">IF(L306&gt;$B$6,"",INDEX(Example!$AD$7:$AD$506,MATCH(L306,Example!$AI$7:$AI$506,0)))</f>
        <v/>
      </c>
      <c r="Q306" s="34" t="n">
        <f aca="false">IF(L306&gt;$B$6,Q305,Q305+O306)</f>
        <v>22057.5</v>
      </c>
      <c r="R306" s="34" t="str">
        <f aca="false">IF(L306&gt;$B$6,"",Q306-MAX($Q$5:Q306))</f>
        <v/>
      </c>
    </row>
    <row r="307" customFormat="false" ht="15" hidden="false" customHeight="false" outlineLevel="0" collapsed="false">
      <c r="L307" s="0" t="n">
        <v>302</v>
      </c>
      <c r="M307" s="37" t="str">
        <f aca="false">IF(L307&gt;$B$6,"",INDEX(Example!$P$7:$P$506,MATCH(L307,Example!$AI$7:$AI$506,0)))</f>
        <v/>
      </c>
      <c r="N307" s="0" t="str">
        <f aca="false">IF(L307&gt;$B$6,"",INDEX(Example!$A$7:$A$506,MATCH(L307,Example!$AI$7:$AI$506,0)))</f>
        <v/>
      </c>
      <c r="O307" s="34" t="str">
        <f aca="false">IF(L307&gt;$B$6,"",INDEX(Example!$AC$7:$AC$506,MATCH(L307,Example!$AI$7:$AI$506,0)))</f>
        <v/>
      </c>
      <c r="P307" s="35" t="str">
        <f aca="false">IF(L307&gt;$B$6,"",INDEX(Example!$AD$7:$AD$506,MATCH(L307,Example!$AI$7:$AI$506,0)))</f>
        <v/>
      </c>
      <c r="Q307" s="34" t="n">
        <f aca="false">IF(L307&gt;$B$6,Q306,Q306+O307)</f>
        <v>22057.5</v>
      </c>
      <c r="R307" s="34" t="str">
        <f aca="false">IF(L307&gt;$B$6,"",Q307-MAX($Q$5:Q307))</f>
        <v/>
      </c>
    </row>
    <row r="308" customFormat="false" ht="15" hidden="false" customHeight="false" outlineLevel="0" collapsed="false">
      <c r="L308" s="0" t="n">
        <v>303</v>
      </c>
      <c r="M308" s="37" t="str">
        <f aca="false">IF(L308&gt;$B$6,"",INDEX(Example!$P$7:$P$506,MATCH(L308,Example!$AI$7:$AI$506,0)))</f>
        <v/>
      </c>
      <c r="N308" s="0" t="str">
        <f aca="false">IF(L308&gt;$B$6,"",INDEX(Example!$A$7:$A$506,MATCH(L308,Example!$AI$7:$AI$506,0)))</f>
        <v/>
      </c>
      <c r="O308" s="34" t="str">
        <f aca="false">IF(L308&gt;$B$6,"",INDEX(Example!$AC$7:$AC$506,MATCH(L308,Example!$AI$7:$AI$506,0)))</f>
        <v/>
      </c>
      <c r="P308" s="35" t="str">
        <f aca="false">IF(L308&gt;$B$6,"",INDEX(Example!$AD$7:$AD$506,MATCH(L308,Example!$AI$7:$AI$506,0)))</f>
        <v/>
      </c>
      <c r="Q308" s="34" t="n">
        <f aca="false">IF(L308&gt;$B$6,Q307,Q307+O308)</f>
        <v>22057.5</v>
      </c>
      <c r="R308" s="34" t="str">
        <f aca="false">IF(L308&gt;$B$6,"",Q308-MAX($Q$5:Q308))</f>
        <v/>
      </c>
    </row>
    <row r="309" customFormat="false" ht="15" hidden="false" customHeight="false" outlineLevel="0" collapsed="false">
      <c r="L309" s="0" t="n">
        <v>304</v>
      </c>
      <c r="M309" s="37" t="str">
        <f aca="false">IF(L309&gt;$B$6,"",INDEX(Example!$P$7:$P$506,MATCH(L309,Example!$AI$7:$AI$506,0)))</f>
        <v/>
      </c>
      <c r="N309" s="0" t="str">
        <f aca="false">IF(L309&gt;$B$6,"",INDEX(Example!$A$7:$A$506,MATCH(L309,Example!$AI$7:$AI$506,0)))</f>
        <v/>
      </c>
      <c r="O309" s="34" t="str">
        <f aca="false">IF(L309&gt;$B$6,"",INDEX(Example!$AC$7:$AC$506,MATCH(L309,Example!$AI$7:$AI$506,0)))</f>
        <v/>
      </c>
      <c r="P309" s="35" t="str">
        <f aca="false">IF(L309&gt;$B$6,"",INDEX(Example!$AD$7:$AD$506,MATCH(L309,Example!$AI$7:$AI$506,0)))</f>
        <v/>
      </c>
      <c r="Q309" s="34" t="n">
        <f aca="false">IF(L309&gt;$B$6,Q308,Q308+O309)</f>
        <v>22057.5</v>
      </c>
      <c r="R309" s="34" t="str">
        <f aca="false">IF(L309&gt;$B$6,"",Q309-MAX($Q$5:Q309))</f>
        <v/>
      </c>
    </row>
    <row r="310" customFormat="false" ht="15" hidden="false" customHeight="false" outlineLevel="0" collapsed="false">
      <c r="L310" s="0" t="n">
        <v>305</v>
      </c>
      <c r="M310" s="37" t="str">
        <f aca="false">IF(L310&gt;$B$6,"",INDEX(Example!$P$7:$P$506,MATCH(L310,Example!$AI$7:$AI$506,0)))</f>
        <v/>
      </c>
      <c r="N310" s="0" t="str">
        <f aca="false">IF(L310&gt;$B$6,"",INDEX(Example!$A$7:$A$506,MATCH(L310,Example!$AI$7:$AI$506,0)))</f>
        <v/>
      </c>
      <c r="O310" s="34" t="str">
        <f aca="false">IF(L310&gt;$B$6,"",INDEX(Example!$AC$7:$AC$506,MATCH(L310,Example!$AI$7:$AI$506,0)))</f>
        <v/>
      </c>
      <c r="P310" s="35" t="str">
        <f aca="false">IF(L310&gt;$B$6,"",INDEX(Example!$AD$7:$AD$506,MATCH(L310,Example!$AI$7:$AI$506,0)))</f>
        <v/>
      </c>
      <c r="Q310" s="34" t="n">
        <f aca="false">IF(L310&gt;$B$6,Q309,Q309+O310)</f>
        <v>22057.5</v>
      </c>
      <c r="R310" s="34" t="str">
        <f aca="false">IF(L310&gt;$B$6,"",Q310-MAX($Q$5:Q310))</f>
        <v/>
      </c>
    </row>
    <row r="311" customFormat="false" ht="15" hidden="false" customHeight="false" outlineLevel="0" collapsed="false">
      <c r="L311" s="0" t="n">
        <v>306</v>
      </c>
      <c r="M311" s="37" t="str">
        <f aca="false">IF(L311&gt;$B$6,"",INDEX(Example!$P$7:$P$506,MATCH(L311,Example!$AI$7:$AI$506,0)))</f>
        <v/>
      </c>
      <c r="N311" s="0" t="str">
        <f aca="false">IF(L311&gt;$B$6,"",INDEX(Example!$A$7:$A$506,MATCH(L311,Example!$AI$7:$AI$506,0)))</f>
        <v/>
      </c>
      <c r="O311" s="34" t="str">
        <f aca="false">IF(L311&gt;$B$6,"",INDEX(Example!$AC$7:$AC$506,MATCH(L311,Example!$AI$7:$AI$506,0)))</f>
        <v/>
      </c>
      <c r="P311" s="35" t="str">
        <f aca="false">IF(L311&gt;$B$6,"",INDEX(Example!$AD$7:$AD$506,MATCH(L311,Example!$AI$7:$AI$506,0)))</f>
        <v/>
      </c>
      <c r="Q311" s="34" t="n">
        <f aca="false">IF(L311&gt;$B$6,Q310,Q310+O311)</f>
        <v>22057.5</v>
      </c>
      <c r="R311" s="34" t="str">
        <f aca="false">IF(L311&gt;$B$6,"",Q311-MAX($Q$5:Q311))</f>
        <v/>
      </c>
    </row>
    <row r="312" customFormat="false" ht="15" hidden="false" customHeight="false" outlineLevel="0" collapsed="false">
      <c r="L312" s="0" t="n">
        <v>307</v>
      </c>
      <c r="M312" s="37" t="str">
        <f aca="false">IF(L312&gt;$B$6,"",INDEX(Example!$P$7:$P$506,MATCH(L312,Example!$AI$7:$AI$506,0)))</f>
        <v/>
      </c>
      <c r="N312" s="0" t="str">
        <f aca="false">IF(L312&gt;$B$6,"",INDEX(Example!$A$7:$A$506,MATCH(L312,Example!$AI$7:$AI$506,0)))</f>
        <v/>
      </c>
      <c r="O312" s="34" t="str">
        <f aca="false">IF(L312&gt;$B$6,"",INDEX(Example!$AC$7:$AC$506,MATCH(L312,Example!$AI$7:$AI$506,0)))</f>
        <v/>
      </c>
      <c r="P312" s="35" t="str">
        <f aca="false">IF(L312&gt;$B$6,"",INDEX(Example!$AD$7:$AD$506,MATCH(L312,Example!$AI$7:$AI$506,0)))</f>
        <v/>
      </c>
      <c r="Q312" s="34" t="n">
        <f aca="false">IF(L312&gt;$B$6,Q311,Q311+O312)</f>
        <v>22057.5</v>
      </c>
      <c r="R312" s="34" t="str">
        <f aca="false">IF(L312&gt;$B$6,"",Q312-MAX($Q$5:Q312))</f>
        <v/>
      </c>
    </row>
    <row r="313" customFormat="false" ht="15" hidden="false" customHeight="false" outlineLevel="0" collapsed="false">
      <c r="L313" s="0" t="n">
        <v>308</v>
      </c>
      <c r="M313" s="37" t="str">
        <f aca="false">IF(L313&gt;$B$6,"",INDEX(Example!$P$7:$P$506,MATCH(L313,Example!$AI$7:$AI$506,0)))</f>
        <v/>
      </c>
      <c r="N313" s="0" t="str">
        <f aca="false">IF(L313&gt;$B$6,"",INDEX(Example!$A$7:$A$506,MATCH(L313,Example!$AI$7:$AI$506,0)))</f>
        <v/>
      </c>
      <c r="O313" s="34" t="str">
        <f aca="false">IF(L313&gt;$B$6,"",INDEX(Example!$AC$7:$AC$506,MATCH(L313,Example!$AI$7:$AI$506,0)))</f>
        <v/>
      </c>
      <c r="P313" s="35" t="str">
        <f aca="false">IF(L313&gt;$B$6,"",INDEX(Example!$AD$7:$AD$506,MATCH(L313,Example!$AI$7:$AI$506,0)))</f>
        <v/>
      </c>
      <c r="Q313" s="34" t="n">
        <f aca="false">IF(L313&gt;$B$6,Q312,Q312+O313)</f>
        <v>22057.5</v>
      </c>
      <c r="R313" s="34" t="str">
        <f aca="false">IF(L313&gt;$B$6,"",Q313-MAX($Q$5:Q313))</f>
        <v/>
      </c>
    </row>
    <row r="314" customFormat="false" ht="15" hidden="false" customHeight="false" outlineLevel="0" collapsed="false">
      <c r="L314" s="0" t="n">
        <v>309</v>
      </c>
      <c r="M314" s="37" t="str">
        <f aca="false">IF(L314&gt;$B$6,"",INDEX(Example!$P$7:$P$506,MATCH(L314,Example!$AI$7:$AI$506,0)))</f>
        <v/>
      </c>
      <c r="N314" s="0" t="str">
        <f aca="false">IF(L314&gt;$B$6,"",INDEX(Example!$A$7:$A$506,MATCH(L314,Example!$AI$7:$AI$506,0)))</f>
        <v/>
      </c>
      <c r="O314" s="34" t="str">
        <f aca="false">IF(L314&gt;$B$6,"",INDEX(Example!$AC$7:$AC$506,MATCH(L314,Example!$AI$7:$AI$506,0)))</f>
        <v/>
      </c>
      <c r="P314" s="35" t="str">
        <f aca="false">IF(L314&gt;$B$6,"",INDEX(Example!$AD$7:$AD$506,MATCH(L314,Example!$AI$7:$AI$506,0)))</f>
        <v/>
      </c>
      <c r="Q314" s="34" t="n">
        <f aca="false">IF(L314&gt;$B$6,Q313,Q313+O314)</f>
        <v>22057.5</v>
      </c>
      <c r="R314" s="34" t="str">
        <f aca="false">IF(L314&gt;$B$6,"",Q314-MAX($Q$5:Q314))</f>
        <v/>
      </c>
    </row>
    <row r="315" customFormat="false" ht="15" hidden="false" customHeight="false" outlineLevel="0" collapsed="false">
      <c r="L315" s="0" t="n">
        <v>310</v>
      </c>
      <c r="M315" s="37" t="str">
        <f aca="false">IF(L315&gt;$B$6,"",INDEX(Example!$P$7:$P$506,MATCH(L315,Example!$AI$7:$AI$506,0)))</f>
        <v/>
      </c>
      <c r="N315" s="0" t="str">
        <f aca="false">IF(L315&gt;$B$6,"",INDEX(Example!$A$7:$A$506,MATCH(L315,Example!$AI$7:$AI$506,0)))</f>
        <v/>
      </c>
      <c r="O315" s="34" t="str">
        <f aca="false">IF(L315&gt;$B$6,"",INDEX(Example!$AC$7:$AC$506,MATCH(L315,Example!$AI$7:$AI$506,0)))</f>
        <v/>
      </c>
      <c r="P315" s="35" t="str">
        <f aca="false">IF(L315&gt;$B$6,"",INDEX(Example!$AD$7:$AD$506,MATCH(L315,Example!$AI$7:$AI$506,0)))</f>
        <v/>
      </c>
      <c r="Q315" s="34" t="n">
        <f aca="false">IF(L315&gt;$B$6,Q314,Q314+O315)</f>
        <v>22057.5</v>
      </c>
      <c r="R315" s="34" t="str">
        <f aca="false">IF(L315&gt;$B$6,"",Q315-MAX($Q$5:Q315))</f>
        <v/>
      </c>
    </row>
    <row r="316" customFormat="false" ht="15" hidden="false" customHeight="false" outlineLevel="0" collapsed="false">
      <c r="L316" s="0" t="n">
        <v>311</v>
      </c>
      <c r="M316" s="37" t="str">
        <f aca="false">IF(L316&gt;$B$6,"",INDEX(Example!$P$7:$P$506,MATCH(L316,Example!$AI$7:$AI$506,0)))</f>
        <v/>
      </c>
      <c r="N316" s="0" t="str">
        <f aca="false">IF(L316&gt;$B$6,"",INDEX(Example!$A$7:$A$506,MATCH(L316,Example!$AI$7:$AI$506,0)))</f>
        <v/>
      </c>
      <c r="O316" s="34" t="str">
        <f aca="false">IF(L316&gt;$B$6,"",INDEX(Example!$AC$7:$AC$506,MATCH(L316,Example!$AI$7:$AI$506,0)))</f>
        <v/>
      </c>
      <c r="P316" s="35" t="str">
        <f aca="false">IF(L316&gt;$B$6,"",INDEX(Example!$AD$7:$AD$506,MATCH(L316,Example!$AI$7:$AI$506,0)))</f>
        <v/>
      </c>
      <c r="Q316" s="34" t="n">
        <f aca="false">IF(L316&gt;$B$6,Q315,Q315+O316)</f>
        <v>22057.5</v>
      </c>
      <c r="R316" s="34" t="str">
        <f aca="false">IF(L316&gt;$B$6,"",Q316-MAX($Q$5:Q316))</f>
        <v/>
      </c>
    </row>
    <row r="317" customFormat="false" ht="15" hidden="false" customHeight="false" outlineLevel="0" collapsed="false">
      <c r="L317" s="0" t="n">
        <v>312</v>
      </c>
      <c r="M317" s="37" t="str">
        <f aca="false">IF(L317&gt;$B$6,"",INDEX(Example!$P$7:$P$506,MATCH(L317,Example!$AI$7:$AI$506,0)))</f>
        <v/>
      </c>
      <c r="N317" s="0" t="str">
        <f aca="false">IF(L317&gt;$B$6,"",INDEX(Example!$A$7:$A$506,MATCH(L317,Example!$AI$7:$AI$506,0)))</f>
        <v/>
      </c>
      <c r="O317" s="34" t="str">
        <f aca="false">IF(L317&gt;$B$6,"",INDEX(Example!$AC$7:$AC$506,MATCH(L317,Example!$AI$7:$AI$506,0)))</f>
        <v/>
      </c>
      <c r="P317" s="35" t="str">
        <f aca="false">IF(L317&gt;$B$6,"",INDEX(Example!$AD$7:$AD$506,MATCH(L317,Example!$AI$7:$AI$506,0)))</f>
        <v/>
      </c>
      <c r="Q317" s="34" t="n">
        <f aca="false">IF(L317&gt;$B$6,Q316,Q316+O317)</f>
        <v>22057.5</v>
      </c>
      <c r="R317" s="34" t="str">
        <f aca="false">IF(L317&gt;$B$6,"",Q317-MAX($Q$5:Q317))</f>
        <v/>
      </c>
    </row>
    <row r="318" customFormat="false" ht="15" hidden="false" customHeight="false" outlineLevel="0" collapsed="false">
      <c r="L318" s="0" t="n">
        <v>313</v>
      </c>
      <c r="M318" s="37" t="str">
        <f aca="false">IF(L318&gt;$B$6,"",INDEX(Example!$P$7:$P$506,MATCH(L318,Example!$AI$7:$AI$506,0)))</f>
        <v/>
      </c>
      <c r="N318" s="0" t="str">
        <f aca="false">IF(L318&gt;$B$6,"",INDEX(Example!$A$7:$A$506,MATCH(L318,Example!$AI$7:$AI$506,0)))</f>
        <v/>
      </c>
      <c r="O318" s="34" t="str">
        <f aca="false">IF(L318&gt;$B$6,"",INDEX(Example!$AC$7:$AC$506,MATCH(L318,Example!$AI$7:$AI$506,0)))</f>
        <v/>
      </c>
      <c r="P318" s="35" t="str">
        <f aca="false">IF(L318&gt;$B$6,"",INDEX(Example!$AD$7:$AD$506,MATCH(L318,Example!$AI$7:$AI$506,0)))</f>
        <v/>
      </c>
      <c r="Q318" s="34" t="n">
        <f aca="false">IF(L318&gt;$B$6,Q317,Q317+O318)</f>
        <v>22057.5</v>
      </c>
      <c r="R318" s="34" t="str">
        <f aca="false">IF(L318&gt;$B$6,"",Q318-MAX($Q$5:Q318))</f>
        <v/>
      </c>
    </row>
    <row r="319" customFormat="false" ht="15" hidden="false" customHeight="false" outlineLevel="0" collapsed="false">
      <c r="L319" s="0" t="n">
        <v>314</v>
      </c>
      <c r="M319" s="37" t="str">
        <f aca="false">IF(L319&gt;$B$6,"",INDEX(Example!$P$7:$P$506,MATCH(L319,Example!$AI$7:$AI$506,0)))</f>
        <v/>
      </c>
      <c r="N319" s="0" t="str">
        <f aca="false">IF(L319&gt;$B$6,"",INDEX(Example!$A$7:$A$506,MATCH(L319,Example!$AI$7:$AI$506,0)))</f>
        <v/>
      </c>
      <c r="O319" s="34" t="str">
        <f aca="false">IF(L319&gt;$B$6,"",INDEX(Example!$AC$7:$AC$506,MATCH(L319,Example!$AI$7:$AI$506,0)))</f>
        <v/>
      </c>
      <c r="P319" s="35" t="str">
        <f aca="false">IF(L319&gt;$B$6,"",INDEX(Example!$AD$7:$AD$506,MATCH(L319,Example!$AI$7:$AI$506,0)))</f>
        <v/>
      </c>
      <c r="Q319" s="34" t="n">
        <f aca="false">IF(L319&gt;$B$6,Q318,Q318+O319)</f>
        <v>22057.5</v>
      </c>
      <c r="R319" s="34" t="str">
        <f aca="false">IF(L319&gt;$B$6,"",Q319-MAX($Q$5:Q319))</f>
        <v/>
      </c>
    </row>
    <row r="320" customFormat="false" ht="15" hidden="false" customHeight="false" outlineLevel="0" collapsed="false">
      <c r="L320" s="0" t="n">
        <v>315</v>
      </c>
      <c r="M320" s="37" t="str">
        <f aca="false">IF(L320&gt;$B$6,"",INDEX(Example!$P$7:$P$506,MATCH(L320,Example!$AI$7:$AI$506,0)))</f>
        <v/>
      </c>
      <c r="N320" s="0" t="str">
        <f aca="false">IF(L320&gt;$B$6,"",INDEX(Example!$A$7:$A$506,MATCH(L320,Example!$AI$7:$AI$506,0)))</f>
        <v/>
      </c>
      <c r="O320" s="34" t="str">
        <f aca="false">IF(L320&gt;$B$6,"",INDEX(Example!$AC$7:$AC$506,MATCH(L320,Example!$AI$7:$AI$506,0)))</f>
        <v/>
      </c>
      <c r="P320" s="35" t="str">
        <f aca="false">IF(L320&gt;$B$6,"",INDEX(Example!$AD$7:$AD$506,MATCH(L320,Example!$AI$7:$AI$506,0)))</f>
        <v/>
      </c>
      <c r="Q320" s="34" t="n">
        <f aca="false">IF(L320&gt;$B$6,Q319,Q319+O320)</f>
        <v>22057.5</v>
      </c>
      <c r="R320" s="34" t="str">
        <f aca="false">IF(L320&gt;$B$6,"",Q320-MAX($Q$5:Q320))</f>
        <v/>
      </c>
    </row>
    <row r="321" customFormat="false" ht="15" hidden="false" customHeight="false" outlineLevel="0" collapsed="false">
      <c r="L321" s="0" t="n">
        <v>316</v>
      </c>
      <c r="M321" s="37" t="str">
        <f aca="false">IF(L321&gt;$B$6,"",INDEX(Example!$P$7:$P$506,MATCH(L321,Example!$AI$7:$AI$506,0)))</f>
        <v/>
      </c>
      <c r="N321" s="0" t="str">
        <f aca="false">IF(L321&gt;$B$6,"",INDEX(Example!$A$7:$A$506,MATCH(L321,Example!$AI$7:$AI$506,0)))</f>
        <v/>
      </c>
      <c r="O321" s="34" t="str">
        <f aca="false">IF(L321&gt;$B$6,"",INDEX(Example!$AC$7:$AC$506,MATCH(L321,Example!$AI$7:$AI$506,0)))</f>
        <v/>
      </c>
      <c r="P321" s="35" t="str">
        <f aca="false">IF(L321&gt;$B$6,"",INDEX(Example!$AD$7:$AD$506,MATCH(L321,Example!$AI$7:$AI$506,0)))</f>
        <v/>
      </c>
      <c r="Q321" s="34" t="n">
        <f aca="false">IF(L321&gt;$B$6,Q320,Q320+O321)</f>
        <v>22057.5</v>
      </c>
      <c r="R321" s="34" t="str">
        <f aca="false">IF(L321&gt;$B$6,"",Q321-MAX($Q$5:Q321))</f>
        <v/>
      </c>
    </row>
    <row r="322" customFormat="false" ht="15" hidden="false" customHeight="false" outlineLevel="0" collapsed="false">
      <c r="L322" s="0" t="n">
        <v>317</v>
      </c>
      <c r="M322" s="37" t="str">
        <f aca="false">IF(L322&gt;$B$6,"",INDEX(Example!$P$7:$P$506,MATCH(L322,Example!$AI$7:$AI$506,0)))</f>
        <v/>
      </c>
      <c r="N322" s="0" t="str">
        <f aca="false">IF(L322&gt;$B$6,"",INDEX(Example!$A$7:$A$506,MATCH(L322,Example!$AI$7:$AI$506,0)))</f>
        <v/>
      </c>
      <c r="O322" s="34" t="str">
        <f aca="false">IF(L322&gt;$B$6,"",INDEX(Example!$AC$7:$AC$506,MATCH(L322,Example!$AI$7:$AI$506,0)))</f>
        <v/>
      </c>
      <c r="P322" s="35" t="str">
        <f aca="false">IF(L322&gt;$B$6,"",INDEX(Example!$AD$7:$AD$506,MATCH(L322,Example!$AI$7:$AI$506,0)))</f>
        <v/>
      </c>
      <c r="Q322" s="34" t="n">
        <f aca="false">IF(L322&gt;$B$6,Q321,Q321+O322)</f>
        <v>22057.5</v>
      </c>
      <c r="R322" s="34" t="str">
        <f aca="false">IF(L322&gt;$B$6,"",Q322-MAX($Q$5:Q322))</f>
        <v/>
      </c>
    </row>
    <row r="323" customFormat="false" ht="15" hidden="false" customHeight="false" outlineLevel="0" collapsed="false">
      <c r="L323" s="0" t="n">
        <v>318</v>
      </c>
      <c r="M323" s="37" t="str">
        <f aca="false">IF(L323&gt;$B$6,"",INDEX(Example!$P$7:$P$506,MATCH(L323,Example!$AI$7:$AI$506,0)))</f>
        <v/>
      </c>
      <c r="N323" s="0" t="str">
        <f aca="false">IF(L323&gt;$B$6,"",INDEX(Example!$A$7:$A$506,MATCH(L323,Example!$AI$7:$AI$506,0)))</f>
        <v/>
      </c>
      <c r="O323" s="34" t="str">
        <f aca="false">IF(L323&gt;$B$6,"",INDEX(Example!$AC$7:$AC$506,MATCH(L323,Example!$AI$7:$AI$506,0)))</f>
        <v/>
      </c>
      <c r="P323" s="35" t="str">
        <f aca="false">IF(L323&gt;$B$6,"",INDEX(Example!$AD$7:$AD$506,MATCH(L323,Example!$AI$7:$AI$506,0)))</f>
        <v/>
      </c>
      <c r="Q323" s="34" t="n">
        <f aca="false">IF(L323&gt;$B$6,Q322,Q322+O323)</f>
        <v>22057.5</v>
      </c>
      <c r="R323" s="34" t="str">
        <f aca="false">IF(L323&gt;$B$6,"",Q323-MAX($Q$5:Q323))</f>
        <v/>
      </c>
    </row>
    <row r="324" customFormat="false" ht="15" hidden="false" customHeight="false" outlineLevel="0" collapsed="false">
      <c r="L324" s="0" t="n">
        <v>319</v>
      </c>
      <c r="M324" s="37" t="str">
        <f aca="false">IF(L324&gt;$B$6,"",INDEX(Example!$P$7:$P$506,MATCH(L324,Example!$AI$7:$AI$506,0)))</f>
        <v/>
      </c>
      <c r="N324" s="0" t="str">
        <f aca="false">IF(L324&gt;$B$6,"",INDEX(Example!$A$7:$A$506,MATCH(L324,Example!$AI$7:$AI$506,0)))</f>
        <v/>
      </c>
      <c r="O324" s="34" t="str">
        <f aca="false">IF(L324&gt;$B$6,"",INDEX(Example!$AC$7:$AC$506,MATCH(L324,Example!$AI$7:$AI$506,0)))</f>
        <v/>
      </c>
      <c r="P324" s="35" t="str">
        <f aca="false">IF(L324&gt;$B$6,"",INDEX(Example!$AD$7:$AD$506,MATCH(L324,Example!$AI$7:$AI$506,0)))</f>
        <v/>
      </c>
      <c r="Q324" s="34" t="n">
        <f aca="false">IF(L324&gt;$B$6,Q323,Q323+O324)</f>
        <v>22057.5</v>
      </c>
      <c r="R324" s="34" t="str">
        <f aca="false">IF(L324&gt;$B$6,"",Q324-MAX($Q$5:Q324))</f>
        <v/>
      </c>
    </row>
    <row r="325" customFormat="false" ht="15" hidden="false" customHeight="false" outlineLevel="0" collapsed="false">
      <c r="L325" s="0" t="n">
        <v>320</v>
      </c>
      <c r="M325" s="37" t="str">
        <f aca="false">IF(L325&gt;$B$6,"",INDEX(Example!$P$7:$P$506,MATCH(L325,Example!$AI$7:$AI$506,0)))</f>
        <v/>
      </c>
      <c r="N325" s="0" t="str">
        <f aca="false">IF(L325&gt;$B$6,"",INDEX(Example!$A$7:$A$506,MATCH(L325,Example!$AI$7:$AI$506,0)))</f>
        <v/>
      </c>
      <c r="O325" s="34" t="str">
        <f aca="false">IF(L325&gt;$B$6,"",INDEX(Example!$AC$7:$AC$506,MATCH(L325,Example!$AI$7:$AI$506,0)))</f>
        <v/>
      </c>
      <c r="P325" s="35" t="str">
        <f aca="false">IF(L325&gt;$B$6,"",INDEX(Example!$AD$7:$AD$506,MATCH(L325,Example!$AI$7:$AI$506,0)))</f>
        <v/>
      </c>
      <c r="Q325" s="34" t="n">
        <f aca="false">IF(L325&gt;$B$6,Q324,Q324+O325)</f>
        <v>22057.5</v>
      </c>
      <c r="R325" s="34" t="str">
        <f aca="false">IF(L325&gt;$B$6,"",Q325-MAX($Q$5:Q325))</f>
        <v/>
      </c>
    </row>
    <row r="326" customFormat="false" ht="15" hidden="false" customHeight="false" outlineLevel="0" collapsed="false">
      <c r="L326" s="0" t="n">
        <v>321</v>
      </c>
      <c r="M326" s="37" t="str">
        <f aca="false">IF(L326&gt;$B$6,"",INDEX(Example!$P$7:$P$506,MATCH(L326,Example!$AI$7:$AI$506,0)))</f>
        <v/>
      </c>
      <c r="N326" s="0" t="str">
        <f aca="false">IF(L326&gt;$B$6,"",INDEX(Example!$A$7:$A$506,MATCH(L326,Example!$AI$7:$AI$506,0)))</f>
        <v/>
      </c>
      <c r="O326" s="34" t="str">
        <f aca="false">IF(L326&gt;$B$6,"",INDEX(Example!$AC$7:$AC$506,MATCH(L326,Example!$AI$7:$AI$506,0)))</f>
        <v/>
      </c>
      <c r="P326" s="35" t="str">
        <f aca="false">IF(L326&gt;$B$6,"",INDEX(Example!$AD$7:$AD$506,MATCH(L326,Example!$AI$7:$AI$506,0)))</f>
        <v/>
      </c>
      <c r="Q326" s="34" t="n">
        <f aca="false">IF(L326&gt;$B$6,Q325,Q325+O326)</f>
        <v>22057.5</v>
      </c>
      <c r="R326" s="34" t="str">
        <f aca="false">IF(L326&gt;$B$6,"",Q326-MAX($Q$5:Q326))</f>
        <v/>
      </c>
    </row>
    <row r="327" customFormat="false" ht="15" hidden="false" customHeight="false" outlineLevel="0" collapsed="false">
      <c r="L327" s="0" t="n">
        <v>322</v>
      </c>
      <c r="M327" s="37" t="str">
        <f aca="false">IF(L327&gt;$B$6,"",INDEX(Example!$P$7:$P$506,MATCH(L327,Example!$AI$7:$AI$506,0)))</f>
        <v/>
      </c>
      <c r="N327" s="0" t="str">
        <f aca="false">IF(L327&gt;$B$6,"",INDEX(Example!$A$7:$A$506,MATCH(L327,Example!$AI$7:$AI$506,0)))</f>
        <v/>
      </c>
      <c r="O327" s="34" t="str">
        <f aca="false">IF(L327&gt;$B$6,"",INDEX(Example!$AC$7:$AC$506,MATCH(L327,Example!$AI$7:$AI$506,0)))</f>
        <v/>
      </c>
      <c r="P327" s="35" t="str">
        <f aca="false">IF(L327&gt;$B$6,"",INDEX(Example!$AD$7:$AD$506,MATCH(L327,Example!$AI$7:$AI$506,0)))</f>
        <v/>
      </c>
      <c r="Q327" s="34" t="n">
        <f aca="false">IF(L327&gt;$B$6,Q326,Q326+O327)</f>
        <v>22057.5</v>
      </c>
      <c r="R327" s="34" t="str">
        <f aca="false">IF(L327&gt;$B$6,"",Q327-MAX($Q$5:Q327))</f>
        <v/>
      </c>
    </row>
    <row r="328" customFormat="false" ht="15" hidden="false" customHeight="false" outlineLevel="0" collapsed="false">
      <c r="L328" s="0" t="n">
        <v>323</v>
      </c>
      <c r="M328" s="37" t="str">
        <f aca="false">IF(L328&gt;$B$6,"",INDEX(Example!$P$7:$P$506,MATCH(L328,Example!$AI$7:$AI$506,0)))</f>
        <v/>
      </c>
      <c r="N328" s="0" t="str">
        <f aca="false">IF(L328&gt;$B$6,"",INDEX(Example!$A$7:$A$506,MATCH(L328,Example!$AI$7:$AI$506,0)))</f>
        <v/>
      </c>
      <c r="O328" s="34" t="str">
        <f aca="false">IF(L328&gt;$B$6,"",INDEX(Example!$AC$7:$AC$506,MATCH(L328,Example!$AI$7:$AI$506,0)))</f>
        <v/>
      </c>
      <c r="P328" s="35" t="str">
        <f aca="false">IF(L328&gt;$B$6,"",INDEX(Example!$AD$7:$AD$506,MATCH(L328,Example!$AI$7:$AI$506,0)))</f>
        <v/>
      </c>
      <c r="Q328" s="34" t="n">
        <f aca="false">IF(L328&gt;$B$6,Q327,Q327+O328)</f>
        <v>22057.5</v>
      </c>
      <c r="R328" s="34" t="str">
        <f aca="false">IF(L328&gt;$B$6,"",Q328-MAX($Q$5:Q328))</f>
        <v/>
      </c>
    </row>
    <row r="329" customFormat="false" ht="15" hidden="false" customHeight="false" outlineLevel="0" collapsed="false">
      <c r="L329" s="0" t="n">
        <v>324</v>
      </c>
      <c r="M329" s="37" t="str">
        <f aca="false">IF(L329&gt;$B$6,"",INDEX(Example!$P$7:$P$506,MATCH(L329,Example!$AI$7:$AI$506,0)))</f>
        <v/>
      </c>
      <c r="N329" s="0" t="str">
        <f aca="false">IF(L329&gt;$B$6,"",INDEX(Example!$A$7:$A$506,MATCH(L329,Example!$AI$7:$AI$506,0)))</f>
        <v/>
      </c>
      <c r="O329" s="34" t="str">
        <f aca="false">IF(L329&gt;$B$6,"",INDEX(Example!$AC$7:$AC$506,MATCH(L329,Example!$AI$7:$AI$506,0)))</f>
        <v/>
      </c>
      <c r="P329" s="35" t="str">
        <f aca="false">IF(L329&gt;$B$6,"",INDEX(Example!$AD$7:$AD$506,MATCH(L329,Example!$AI$7:$AI$506,0)))</f>
        <v/>
      </c>
      <c r="Q329" s="34" t="n">
        <f aca="false">IF(L329&gt;$B$6,Q328,Q328+O329)</f>
        <v>22057.5</v>
      </c>
      <c r="R329" s="34" t="str">
        <f aca="false">IF(L329&gt;$B$6,"",Q329-MAX($Q$5:Q329))</f>
        <v/>
      </c>
    </row>
    <row r="330" customFormat="false" ht="15" hidden="false" customHeight="false" outlineLevel="0" collapsed="false">
      <c r="L330" s="0" t="n">
        <v>325</v>
      </c>
      <c r="M330" s="37" t="str">
        <f aca="false">IF(L330&gt;$B$6,"",INDEX(Example!$P$7:$P$506,MATCH(L330,Example!$AI$7:$AI$506,0)))</f>
        <v/>
      </c>
      <c r="N330" s="0" t="str">
        <f aca="false">IF(L330&gt;$B$6,"",INDEX(Example!$A$7:$A$506,MATCH(L330,Example!$AI$7:$AI$506,0)))</f>
        <v/>
      </c>
      <c r="O330" s="34" t="str">
        <f aca="false">IF(L330&gt;$B$6,"",INDEX(Example!$AC$7:$AC$506,MATCH(L330,Example!$AI$7:$AI$506,0)))</f>
        <v/>
      </c>
      <c r="P330" s="35" t="str">
        <f aca="false">IF(L330&gt;$B$6,"",INDEX(Example!$AD$7:$AD$506,MATCH(L330,Example!$AI$7:$AI$506,0)))</f>
        <v/>
      </c>
      <c r="Q330" s="34" t="n">
        <f aca="false">IF(L330&gt;$B$6,Q329,Q329+O330)</f>
        <v>22057.5</v>
      </c>
      <c r="R330" s="34" t="str">
        <f aca="false">IF(L330&gt;$B$6,"",Q330-MAX($Q$5:Q330))</f>
        <v/>
      </c>
    </row>
    <row r="331" customFormat="false" ht="15" hidden="false" customHeight="false" outlineLevel="0" collapsed="false">
      <c r="L331" s="0" t="n">
        <v>326</v>
      </c>
      <c r="M331" s="37" t="str">
        <f aca="false">IF(L331&gt;$B$6,"",INDEX(Example!$P$7:$P$506,MATCH(L331,Example!$AI$7:$AI$506,0)))</f>
        <v/>
      </c>
      <c r="N331" s="0" t="str">
        <f aca="false">IF(L331&gt;$B$6,"",INDEX(Example!$A$7:$A$506,MATCH(L331,Example!$AI$7:$AI$506,0)))</f>
        <v/>
      </c>
      <c r="O331" s="34" t="str">
        <f aca="false">IF(L331&gt;$B$6,"",INDEX(Example!$AC$7:$AC$506,MATCH(L331,Example!$AI$7:$AI$506,0)))</f>
        <v/>
      </c>
      <c r="P331" s="35" t="str">
        <f aca="false">IF(L331&gt;$B$6,"",INDEX(Example!$AD$7:$AD$506,MATCH(L331,Example!$AI$7:$AI$506,0)))</f>
        <v/>
      </c>
      <c r="Q331" s="34" t="n">
        <f aca="false">IF(L331&gt;$B$6,Q330,Q330+O331)</f>
        <v>22057.5</v>
      </c>
      <c r="R331" s="34" t="str">
        <f aca="false">IF(L331&gt;$B$6,"",Q331-MAX($Q$5:Q331))</f>
        <v/>
      </c>
    </row>
    <row r="332" customFormat="false" ht="15" hidden="false" customHeight="false" outlineLevel="0" collapsed="false">
      <c r="L332" s="0" t="n">
        <v>327</v>
      </c>
      <c r="M332" s="37" t="str">
        <f aca="false">IF(L332&gt;$B$6,"",INDEX(Example!$P$7:$P$506,MATCH(L332,Example!$AI$7:$AI$506,0)))</f>
        <v/>
      </c>
      <c r="N332" s="0" t="str">
        <f aca="false">IF(L332&gt;$B$6,"",INDEX(Example!$A$7:$A$506,MATCH(L332,Example!$AI$7:$AI$506,0)))</f>
        <v/>
      </c>
      <c r="O332" s="34" t="str">
        <f aca="false">IF(L332&gt;$B$6,"",INDEX(Example!$AC$7:$AC$506,MATCH(L332,Example!$AI$7:$AI$506,0)))</f>
        <v/>
      </c>
      <c r="P332" s="35" t="str">
        <f aca="false">IF(L332&gt;$B$6,"",INDEX(Example!$AD$7:$AD$506,MATCH(L332,Example!$AI$7:$AI$506,0)))</f>
        <v/>
      </c>
      <c r="Q332" s="34" t="n">
        <f aca="false">IF(L332&gt;$B$6,Q331,Q331+O332)</f>
        <v>22057.5</v>
      </c>
      <c r="R332" s="34" t="str">
        <f aca="false">IF(L332&gt;$B$6,"",Q332-MAX($Q$5:Q332))</f>
        <v/>
      </c>
    </row>
    <row r="333" customFormat="false" ht="15" hidden="false" customHeight="false" outlineLevel="0" collapsed="false">
      <c r="L333" s="0" t="n">
        <v>328</v>
      </c>
      <c r="M333" s="37" t="str">
        <f aca="false">IF(L333&gt;$B$6,"",INDEX(Example!$P$7:$P$506,MATCH(L333,Example!$AI$7:$AI$506,0)))</f>
        <v/>
      </c>
      <c r="N333" s="0" t="str">
        <f aca="false">IF(L333&gt;$B$6,"",INDEX(Example!$A$7:$A$506,MATCH(L333,Example!$AI$7:$AI$506,0)))</f>
        <v/>
      </c>
      <c r="O333" s="34" t="str">
        <f aca="false">IF(L333&gt;$B$6,"",INDEX(Example!$AC$7:$AC$506,MATCH(L333,Example!$AI$7:$AI$506,0)))</f>
        <v/>
      </c>
      <c r="P333" s="35" t="str">
        <f aca="false">IF(L333&gt;$B$6,"",INDEX(Example!$AD$7:$AD$506,MATCH(L333,Example!$AI$7:$AI$506,0)))</f>
        <v/>
      </c>
      <c r="Q333" s="34" t="n">
        <f aca="false">IF(L333&gt;$B$6,Q332,Q332+O333)</f>
        <v>22057.5</v>
      </c>
      <c r="R333" s="34" t="str">
        <f aca="false">IF(L333&gt;$B$6,"",Q333-MAX($Q$5:Q333))</f>
        <v/>
      </c>
    </row>
    <row r="334" customFormat="false" ht="15" hidden="false" customHeight="false" outlineLevel="0" collapsed="false">
      <c r="L334" s="0" t="n">
        <v>329</v>
      </c>
      <c r="M334" s="37" t="str">
        <f aca="false">IF(L334&gt;$B$6,"",INDEX(Example!$P$7:$P$506,MATCH(L334,Example!$AI$7:$AI$506,0)))</f>
        <v/>
      </c>
      <c r="N334" s="0" t="str">
        <f aca="false">IF(L334&gt;$B$6,"",INDEX(Example!$A$7:$A$506,MATCH(L334,Example!$AI$7:$AI$506,0)))</f>
        <v/>
      </c>
      <c r="O334" s="34" t="str">
        <f aca="false">IF(L334&gt;$B$6,"",INDEX(Example!$AC$7:$AC$506,MATCH(L334,Example!$AI$7:$AI$506,0)))</f>
        <v/>
      </c>
      <c r="P334" s="35" t="str">
        <f aca="false">IF(L334&gt;$B$6,"",INDEX(Example!$AD$7:$AD$506,MATCH(L334,Example!$AI$7:$AI$506,0)))</f>
        <v/>
      </c>
      <c r="Q334" s="34" t="n">
        <f aca="false">IF(L334&gt;$B$6,Q333,Q333+O334)</f>
        <v>22057.5</v>
      </c>
      <c r="R334" s="34" t="str">
        <f aca="false">IF(L334&gt;$B$6,"",Q334-MAX($Q$5:Q334))</f>
        <v/>
      </c>
    </row>
    <row r="335" customFormat="false" ht="15" hidden="false" customHeight="false" outlineLevel="0" collapsed="false">
      <c r="L335" s="0" t="n">
        <v>330</v>
      </c>
      <c r="M335" s="37" t="str">
        <f aca="false">IF(L335&gt;$B$6,"",INDEX(Example!$P$7:$P$506,MATCH(L335,Example!$AI$7:$AI$506,0)))</f>
        <v/>
      </c>
      <c r="N335" s="0" t="str">
        <f aca="false">IF(L335&gt;$B$6,"",INDEX(Example!$A$7:$A$506,MATCH(L335,Example!$AI$7:$AI$506,0)))</f>
        <v/>
      </c>
      <c r="O335" s="34" t="str">
        <f aca="false">IF(L335&gt;$B$6,"",INDEX(Example!$AC$7:$AC$506,MATCH(L335,Example!$AI$7:$AI$506,0)))</f>
        <v/>
      </c>
      <c r="P335" s="35" t="str">
        <f aca="false">IF(L335&gt;$B$6,"",INDEX(Example!$AD$7:$AD$506,MATCH(L335,Example!$AI$7:$AI$506,0)))</f>
        <v/>
      </c>
      <c r="Q335" s="34" t="n">
        <f aca="false">IF(L335&gt;$B$6,Q334,Q334+O335)</f>
        <v>22057.5</v>
      </c>
      <c r="R335" s="34" t="str">
        <f aca="false">IF(L335&gt;$B$6,"",Q335-MAX($Q$5:Q335))</f>
        <v/>
      </c>
    </row>
    <row r="336" customFormat="false" ht="15" hidden="false" customHeight="false" outlineLevel="0" collapsed="false">
      <c r="L336" s="0" t="n">
        <v>331</v>
      </c>
      <c r="M336" s="37" t="str">
        <f aca="false">IF(L336&gt;$B$6,"",INDEX(Example!$P$7:$P$506,MATCH(L336,Example!$AI$7:$AI$506,0)))</f>
        <v/>
      </c>
      <c r="N336" s="0" t="str">
        <f aca="false">IF(L336&gt;$B$6,"",INDEX(Example!$A$7:$A$506,MATCH(L336,Example!$AI$7:$AI$506,0)))</f>
        <v/>
      </c>
      <c r="O336" s="34" t="str">
        <f aca="false">IF(L336&gt;$B$6,"",INDEX(Example!$AC$7:$AC$506,MATCH(L336,Example!$AI$7:$AI$506,0)))</f>
        <v/>
      </c>
      <c r="P336" s="35" t="str">
        <f aca="false">IF(L336&gt;$B$6,"",INDEX(Example!$AD$7:$AD$506,MATCH(L336,Example!$AI$7:$AI$506,0)))</f>
        <v/>
      </c>
      <c r="Q336" s="34" t="n">
        <f aca="false">IF(L336&gt;$B$6,Q335,Q335+O336)</f>
        <v>22057.5</v>
      </c>
      <c r="R336" s="34" t="str">
        <f aca="false">IF(L336&gt;$B$6,"",Q336-MAX($Q$5:Q336))</f>
        <v/>
      </c>
    </row>
    <row r="337" customFormat="false" ht="15" hidden="false" customHeight="false" outlineLevel="0" collapsed="false">
      <c r="L337" s="0" t="n">
        <v>332</v>
      </c>
      <c r="M337" s="37" t="str">
        <f aca="false">IF(L337&gt;$B$6,"",INDEX(Example!$P$7:$P$506,MATCH(L337,Example!$AI$7:$AI$506,0)))</f>
        <v/>
      </c>
      <c r="N337" s="0" t="str">
        <f aca="false">IF(L337&gt;$B$6,"",INDEX(Example!$A$7:$A$506,MATCH(L337,Example!$AI$7:$AI$506,0)))</f>
        <v/>
      </c>
      <c r="O337" s="34" t="str">
        <f aca="false">IF(L337&gt;$B$6,"",INDEX(Example!$AC$7:$AC$506,MATCH(L337,Example!$AI$7:$AI$506,0)))</f>
        <v/>
      </c>
      <c r="P337" s="35" t="str">
        <f aca="false">IF(L337&gt;$B$6,"",INDEX(Example!$AD$7:$AD$506,MATCH(L337,Example!$AI$7:$AI$506,0)))</f>
        <v/>
      </c>
      <c r="Q337" s="34" t="n">
        <f aca="false">IF(L337&gt;$B$6,Q336,Q336+O337)</f>
        <v>22057.5</v>
      </c>
      <c r="R337" s="34" t="str">
        <f aca="false">IF(L337&gt;$B$6,"",Q337-MAX($Q$5:Q337))</f>
        <v/>
      </c>
    </row>
    <row r="338" customFormat="false" ht="15" hidden="false" customHeight="false" outlineLevel="0" collapsed="false">
      <c r="L338" s="0" t="n">
        <v>333</v>
      </c>
      <c r="M338" s="37" t="str">
        <f aca="false">IF(L338&gt;$B$6,"",INDEX(Example!$P$7:$P$506,MATCH(L338,Example!$AI$7:$AI$506,0)))</f>
        <v/>
      </c>
      <c r="N338" s="0" t="str">
        <f aca="false">IF(L338&gt;$B$6,"",INDEX(Example!$A$7:$A$506,MATCH(L338,Example!$AI$7:$AI$506,0)))</f>
        <v/>
      </c>
      <c r="O338" s="34" t="str">
        <f aca="false">IF(L338&gt;$B$6,"",INDEX(Example!$AC$7:$AC$506,MATCH(L338,Example!$AI$7:$AI$506,0)))</f>
        <v/>
      </c>
      <c r="P338" s="35" t="str">
        <f aca="false">IF(L338&gt;$B$6,"",INDEX(Example!$AD$7:$AD$506,MATCH(L338,Example!$AI$7:$AI$506,0)))</f>
        <v/>
      </c>
      <c r="Q338" s="34" t="n">
        <f aca="false">IF(L338&gt;$B$6,Q337,Q337+O338)</f>
        <v>22057.5</v>
      </c>
      <c r="R338" s="34" t="str">
        <f aca="false">IF(L338&gt;$B$6,"",Q338-MAX($Q$5:Q338))</f>
        <v/>
      </c>
    </row>
    <row r="339" customFormat="false" ht="15" hidden="false" customHeight="false" outlineLevel="0" collapsed="false">
      <c r="L339" s="0" t="n">
        <v>334</v>
      </c>
      <c r="M339" s="37" t="str">
        <f aca="false">IF(L339&gt;$B$6,"",INDEX(Example!$P$7:$P$506,MATCH(L339,Example!$AI$7:$AI$506,0)))</f>
        <v/>
      </c>
      <c r="N339" s="0" t="str">
        <f aca="false">IF(L339&gt;$B$6,"",INDEX(Example!$A$7:$A$506,MATCH(L339,Example!$AI$7:$AI$506,0)))</f>
        <v/>
      </c>
      <c r="O339" s="34" t="str">
        <f aca="false">IF(L339&gt;$B$6,"",INDEX(Example!$AC$7:$AC$506,MATCH(L339,Example!$AI$7:$AI$506,0)))</f>
        <v/>
      </c>
      <c r="P339" s="35" t="str">
        <f aca="false">IF(L339&gt;$B$6,"",INDEX(Example!$AD$7:$AD$506,MATCH(L339,Example!$AI$7:$AI$506,0)))</f>
        <v/>
      </c>
      <c r="Q339" s="34" t="n">
        <f aca="false">IF(L339&gt;$B$6,Q338,Q338+O339)</f>
        <v>22057.5</v>
      </c>
      <c r="R339" s="34" t="str">
        <f aca="false">IF(L339&gt;$B$6,"",Q339-MAX($Q$5:Q339))</f>
        <v/>
      </c>
    </row>
    <row r="340" customFormat="false" ht="15" hidden="false" customHeight="false" outlineLevel="0" collapsed="false">
      <c r="L340" s="0" t="n">
        <v>335</v>
      </c>
      <c r="M340" s="37" t="str">
        <f aca="false">IF(L340&gt;$B$6,"",INDEX(Example!$P$7:$P$506,MATCH(L340,Example!$AI$7:$AI$506,0)))</f>
        <v/>
      </c>
      <c r="N340" s="0" t="str">
        <f aca="false">IF(L340&gt;$B$6,"",INDEX(Example!$A$7:$A$506,MATCH(L340,Example!$AI$7:$AI$506,0)))</f>
        <v/>
      </c>
      <c r="O340" s="34" t="str">
        <f aca="false">IF(L340&gt;$B$6,"",INDEX(Example!$AC$7:$AC$506,MATCH(L340,Example!$AI$7:$AI$506,0)))</f>
        <v/>
      </c>
      <c r="P340" s="35" t="str">
        <f aca="false">IF(L340&gt;$B$6,"",INDEX(Example!$AD$7:$AD$506,MATCH(L340,Example!$AI$7:$AI$506,0)))</f>
        <v/>
      </c>
      <c r="Q340" s="34" t="n">
        <f aca="false">IF(L340&gt;$B$6,Q339,Q339+O340)</f>
        <v>22057.5</v>
      </c>
      <c r="R340" s="34" t="str">
        <f aca="false">IF(L340&gt;$B$6,"",Q340-MAX($Q$5:Q340))</f>
        <v/>
      </c>
    </row>
    <row r="341" customFormat="false" ht="15" hidden="false" customHeight="false" outlineLevel="0" collapsed="false">
      <c r="L341" s="0" t="n">
        <v>336</v>
      </c>
      <c r="M341" s="37" t="str">
        <f aca="false">IF(L341&gt;$B$6,"",INDEX(Example!$P$7:$P$506,MATCH(L341,Example!$AI$7:$AI$506,0)))</f>
        <v/>
      </c>
      <c r="N341" s="0" t="str">
        <f aca="false">IF(L341&gt;$B$6,"",INDEX(Example!$A$7:$A$506,MATCH(L341,Example!$AI$7:$AI$506,0)))</f>
        <v/>
      </c>
      <c r="O341" s="34" t="str">
        <f aca="false">IF(L341&gt;$B$6,"",INDEX(Example!$AC$7:$AC$506,MATCH(L341,Example!$AI$7:$AI$506,0)))</f>
        <v/>
      </c>
      <c r="P341" s="35" t="str">
        <f aca="false">IF(L341&gt;$B$6,"",INDEX(Example!$AD$7:$AD$506,MATCH(L341,Example!$AI$7:$AI$506,0)))</f>
        <v/>
      </c>
      <c r="Q341" s="34" t="n">
        <f aca="false">IF(L341&gt;$B$6,Q340,Q340+O341)</f>
        <v>22057.5</v>
      </c>
      <c r="R341" s="34" t="str">
        <f aca="false">IF(L341&gt;$B$6,"",Q341-MAX($Q$5:Q341))</f>
        <v/>
      </c>
    </row>
    <row r="342" customFormat="false" ht="15" hidden="false" customHeight="false" outlineLevel="0" collapsed="false">
      <c r="L342" s="0" t="n">
        <v>337</v>
      </c>
      <c r="M342" s="37" t="str">
        <f aca="false">IF(L342&gt;$B$6,"",INDEX(Example!$P$7:$P$506,MATCH(L342,Example!$AI$7:$AI$506,0)))</f>
        <v/>
      </c>
      <c r="N342" s="0" t="str">
        <f aca="false">IF(L342&gt;$B$6,"",INDEX(Example!$A$7:$A$506,MATCH(L342,Example!$AI$7:$AI$506,0)))</f>
        <v/>
      </c>
      <c r="O342" s="34" t="str">
        <f aca="false">IF(L342&gt;$B$6,"",INDEX(Example!$AC$7:$AC$506,MATCH(L342,Example!$AI$7:$AI$506,0)))</f>
        <v/>
      </c>
      <c r="P342" s="35" t="str">
        <f aca="false">IF(L342&gt;$B$6,"",INDEX(Example!$AD$7:$AD$506,MATCH(L342,Example!$AI$7:$AI$506,0)))</f>
        <v/>
      </c>
      <c r="Q342" s="34" t="n">
        <f aca="false">IF(L342&gt;$B$6,Q341,Q341+O342)</f>
        <v>22057.5</v>
      </c>
      <c r="R342" s="34" t="str">
        <f aca="false">IF(L342&gt;$B$6,"",Q342-MAX($Q$5:Q342))</f>
        <v/>
      </c>
    </row>
    <row r="343" customFormat="false" ht="15" hidden="false" customHeight="false" outlineLevel="0" collapsed="false">
      <c r="L343" s="0" t="n">
        <v>338</v>
      </c>
      <c r="M343" s="37" t="str">
        <f aca="false">IF(L343&gt;$B$6,"",INDEX(Example!$P$7:$P$506,MATCH(L343,Example!$AI$7:$AI$506,0)))</f>
        <v/>
      </c>
      <c r="N343" s="0" t="str">
        <f aca="false">IF(L343&gt;$B$6,"",INDEX(Example!$A$7:$A$506,MATCH(L343,Example!$AI$7:$AI$506,0)))</f>
        <v/>
      </c>
      <c r="O343" s="34" t="str">
        <f aca="false">IF(L343&gt;$B$6,"",INDEX(Example!$AC$7:$AC$506,MATCH(L343,Example!$AI$7:$AI$506,0)))</f>
        <v/>
      </c>
      <c r="P343" s="35" t="str">
        <f aca="false">IF(L343&gt;$B$6,"",INDEX(Example!$AD$7:$AD$506,MATCH(L343,Example!$AI$7:$AI$506,0)))</f>
        <v/>
      </c>
      <c r="Q343" s="34" t="n">
        <f aca="false">IF(L343&gt;$B$6,Q342,Q342+O343)</f>
        <v>22057.5</v>
      </c>
      <c r="R343" s="34" t="str">
        <f aca="false">IF(L343&gt;$B$6,"",Q343-MAX($Q$5:Q343))</f>
        <v/>
      </c>
    </row>
    <row r="344" customFormat="false" ht="15" hidden="false" customHeight="false" outlineLevel="0" collapsed="false">
      <c r="L344" s="0" t="n">
        <v>339</v>
      </c>
      <c r="M344" s="37" t="str">
        <f aca="false">IF(L344&gt;$B$6,"",INDEX(Example!$P$7:$P$506,MATCH(L344,Example!$AI$7:$AI$506,0)))</f>
        <v/>
      </c>
      <c r="N344" s="0" t="str">
        <f aca="false">IF(L344&gt;$B$6,"",INDEX(Example!$A$7:$A$506,MATCH(L344,Example!$AI$7:$AI$506,0)))</f>
        <v/>
      </c>
      <c r="O344" s="34" t="str">
        <f aca="false">IF(L344&gt;$B$6,"",INDEX(Example!$AC$7:$AC$506,MATCH(L344,Example!$AI$7:$AI$506,0)))</f>
        <v/>
      </c>
      <c r="P344" s="35" t="str">
        <f aca="false">IF(L344&gt;$B$6,"",INDEX(Example!$AD$7:$AD$506,MATCH(L344,Example!$AI$7:$AI$506,0)))</f>
        <v/>
      </c>
      <c r="Q344" s="34" t="n">
        <f aca="false">IF(L344&gt;$B$6,Q343,Q343+O344)</f>
        <v>22057.5</v>
      </c>
      <c r="R344" s="34" t="str">
        <f aca="false">IF(L344&gt;$B$6,"",Q344-MAX($Q$5:Q344))</f>
        <v/>
      </c>
    </row>
    <row r="345" customFormat="false" ht="15" hidden="false" customHeight="false" outlineLevel="0" collapsed="false">
      <c r="L345" s="0" t="n">
        <v>340</v>
      </c>
      <c r="M345" s="37" t="str">
        <f aca="false">IF(L345&gt;$B$6,"",INDEX(Example!$P$7:$P$506,MATCH(L345,Example!$AI$7:$AI$506,0)))</f>
        <v/>
      </c>
      <c r="N345" s="0" t="str">
        <f aca="false">IF(L345&gt;$B$6,"",INDEX(Example!$A$7:$A$506,MATCH(L345,Example!$AI$7:$AI$506,0)))</f>
        <v/>
      </c>
      <c r="O345" s="34" t="str">
        <f aca="false">IF(L345&gt;$B$6,"",INDEX(Example!$AC$7:$AC$506,MATCH(L345,Example!$AI$7:$AI$506,0)))</f>
        <v/>
      </c>
      <c r="P345" s="35" t="str">
        <f aca="false">IF(L345&gt;$B$6,"",INDEX(Example!$AD$7:$AD$506,MATCH(L345,Example!$AI$7:$AI$506,0)))</f>
        <v/>
      </c>
      <c r="Q345" s="34" t="n">
        <f aca="false">IF(L345&gt;$B$6,Q344,Q344+O345)</f>
        <v>22057.5</v>
      </c>
      <c r="R345" s="34" t="str">
        <f aca="false">IF(L345&gt;$B$6,"",Q345-MAX($Q$5:Q345))</f>
        <v/>
      </c>
    </row>
    <row r="346" customFormat="false" ht="15" hidden="false" customHeight="false" outlineLevel="0" collapsed="false">
      <c r="L346" s="0" t="n">
        <v>341</v>
      </c>
      <c r="M346" s="37" t="str">
        <f aca="false">IF(L346&gt;$B$6,"",INDEX(Example!$P$7:$P$506,MATCH(L346,Example!$AI$7:$AI$506,0)))</f>
        <v/>
      </c>
      <c r="N346" s="0" t="str">
        <f aca="false">IF(L346&gt;$B$6,"",INDEX(Example!$A$7:$A$506,MATCH(L346,Example!$AI$7:$AI$506,0)))</f>
        <v/>
      </c>
      <c r="O346" s="34" t="str">
        <f aca="false">IF(L346&gt;$B$6,"",INDEX(Example!$AC$7:$AC$506,MATCH(L346,Example!$AI$7:$AI$506,0)))</f>
        <v/>
      </c>
      <c r="P346" s="35" t="str">
        <f aca="false">IF(L346&gt;$B$6,"",INDEX(Example!$AD$7:$AD$506,MATCH(L346,Example!$AI$7:$AI$506,0)))</f>
        <v/>
      </c>
      <c r="Q346" s="34" t="n">
        <f aca="false">IF(L346&gt;$B$6,Q345,Q345+O346)</f>
        <v>22057.5</v>
      </c>
      <c r="R346" s="34" t="str">
        <f aca="false">IF(L346&gt;$B$6,"",Q346-MAX($Q$5:Q346))</f>
        <v/>
      </c>
    </row>
    <row r="347" customFormat="false" ht="15" hidden="false" customHeight="false" outlineLevel="0" collapsed="false">
      <c r="L347" s="0" t="n">
        <v>342</v>
      </c>
      <c r="M347" s="37" t="str">
        <f aca="false">IF(L347&gt;$B$6,"",INDEX(Example!$P$7:$P$506,MATCH(L347,Example!$AI$7:$AI$506,0)))</f>
        <v/>
      </c>
      <c r="N347" s="0" t="str">
        <f aca="false">IF(L347&gt;$B$6,"",INDEX(Example!$A$7:$A$506,MATCH(L347,Example!$AI$7:$AI$506,0)))</f>
        <v/>
      </c>
      <c r="O347" s="34" t="str">
        <f aca="false">IF(L347&gt;$B$6,"",INDEX(Example!$AC$7:$AC$506,MATCH(L347,Example!$AI$7:$AI$506,0)))</f>
        <v/>
      </c>
      <c r="P347" s="35" t="str">
        <f aca="false">IF(L347&gt;$B$6,"",INDEX(Example!$AD$7:$AD$506,MATCH(L347,Example!$AI$7:$AI$506,0)))</f>
        <v/>
      </c>
      <c r="Q347" s="34" t="n">
        <f aca="false">IF(L347&gt;$B$6,Q346,Q346+O347)</f>
        <v>22057.5</v>
      </c>
      <c r="R347" s="34" t="str">
        <f aca="false">IF(L347&gt;$B$6,"",Q347-MAX($Q$5:Q347))</f>
        <v/>
      </c>
    </row>
    <row r="348" customFormat="false" ht="15" hidden="false" customHeight="false" outlineLevel="0" collapsed="false">
      <c r="L348" s="0" t="n">
        <v>343</v>
      </c>
      <c r="M348" s="37" t="str">
        <f aca="false">IF(L348&gt;$B$6,"",INDEX(Example!$P$7:$P$506,MATCH(L348,Example!$AI$7:$AI$506,0)))</f>
        <v/>
      </c>
      <c r="N348" s="0" t="str">
        <f aca="false">IF(L348&gt;$B$6,"",INDEX(Example!$A$7:$A$506,MATCH(L348,Example!$AI$7:$AI$506,0)))</f>
        <v/>
      </c>
      <c r="O348" s="34" t="str">
        <f aca="false">IF(L348&gt;$B$6,"",INDEX(Example!$AC$7:$AC$506,MATCH(L348,Example!$AI$7:$AI$506,0)))</f>
        <v/>
      </c>
      <c r="P348" s="35" t="str">
        <f aca="false">IF(L348&gt;$B$6,"",INDEX(Example!$AD$7:$AD$506,MATCH(L348,Example!$AI$7:$AI$506,0)))</f>
        <v/>
      </c>
      <c r="Q348" s="34" t="n">
        <f aca="false">IF(L348&gt;$B$6,Q347,Q347+O348)</f>
        <v>22057.5</v>
      </c>
      <c r="R348" s="34" t="str">
        <f aca="false">IF(L348&gt;$B$6,"",Q348-MAX($Q$5:Q348))</f>
        <v/>
      </c>
    </row>
    <row r="349" customFormat="false" ht="15" hidden="false" customHeight="false" outlineLevel="0" collapsed="false">
      <c r="L349" s="0" t="n">
        <v>344</v>
      </c>
      <c r="M349" s="37" t="str">
        <f aca="false">IF(L349&gt;$B$6,"",INDEX(Example!$P$7:$P$506,MATCH(L349,Example!$AI$7:$AI$506,0)))</f>
        <v/>
      </c>
      <c r="N349" s="0" t="str">
        <f aca="false">IF(L349&gt;$B$6,"",INDEX(Example!$A$7:$A$506,MATCH(L349,Example!$AI$7:$AI$506,0)))</f>
        <v/>
      </c>
      <c r="O349" s="34" t="str">
        <f aca="false">IF(L349&gt;$B$6,"",INDEX(Example!$AC$7:$AC$506,MATCH(L349,Example!$AI$7:$AI$506,0)))</f>
        <v/>
      </c>
      <c r="P349" s="35" t="str">
        <f aca="false">IF(L349&gt;$B$6,"",INDEX(Example!$AD$7:$AD$506,MATCH(L349,Example!$AI$7:$AI$506,0)))</f>
        <v/>
      </c>
      <c r="Q349" s="34" t="n">
        <f aca="false">IF(L349&gt;$B$6,Q348,Q348+O349)</f>
        <v>22057.5</v>
      </c>
      <c r="R349" s="34" t="str">
        <f aca="false">IF(L349&gt;$B$6,"",Q349-MAX($Q$5:Q349))</f>
        <v/>
      </c>
    </row>
    <row r="350" customFormat="false" ht="15" hidden="false" customHeight="false" outlineLevel="0" collapsed="false">
      <c r="L350" s="0" t="n">
        <v>345</v>
      </c>
      <c r="M350" s="37" t="str">
        <f aca="false">IF(L350&gt;$B$6,"",INDEX(Example!$P$7:$P$506,MATCH(L350,Example!$AI$7:$AI$506,0)))</f>
        <v/>
      </c>
      <c r="N350" s="0" t="str">
        <f aca="false">IF(L350&gt;$B$6,"",INDEX(Example!$A$7:$A$506,MATCH(L350,Example!$AI$7:$AI$506,0)))</f>
        <v/>
      </c>
      <c r="O350" s="34" t="str">
        <f aca="false">IF(L350&gt;$B$6,"",INDEX(Example!$AC$7:$AC$506,MATCH(L350,Example!$AI$7:$AI$506,0)))</f>
        <v/>
      </c>
      <c r="P350" s="35" t="str">
        <f aca="false">IF(L350&gt;$B$6,"",INDEX(Example!$AD$7:$AD$506,MATCH(L350,Example!$AI$7:$AI$506,0)))</f>
        <v/>
      </c>
      <c r="Q350" s="34" t="n">
        <f aca="false">IF(L350&gt;$B$6,Q349,Q349+O350)</f>
        <v>22057.5</v>
      </c>
      <c r="R350" s="34" t="str">
        <f aca="false">IF(L350&gt;$B$6,"",Q350-MAX($Q$5:Q350))</f>
        <v/>
      </c>
    </row>
    <row r="351" customFormat="false" ht="15" hidden="false" customHeight="false" outlineLevel="0" collapsed="false">
      <c r="L351" s="0" t="n">
        <v>346</v>
      </c>
      <c r="M351" s="37" t="str">
        <f aca="false">IF(L351&gt;$B$6,"",INDEX(Example!$P$7:$P$506,MATCH(L351,Example!$AI$7:$AI$506,0)))</f>
        <v/>
      </c>
      <c r="N351" s="0" t="str">
        <f aca="false">IF(L351&gt;$B$6,"",INDEX(Example!$A$7:$A$506,MATCH(L351,Example!$AI$7:$AI$506,0)))</f>
        <v/>
      </c>
      <c r="O351" s="34" t="str">
        <f aca="false">IF(L351&gt;$B$6,"",INDEX(Example!$AC$7:$AC$506,MATCH(L351,Example!$AI$7:$AI$506,0)))</f>
        <v/>
      </c>
      <c r="P351" s="35" t="str">
        <f aca="false">IF(L351&gt;$B$6,"",INDEX(Example!$AD$7:$AD$506,MATCH(L351,Example!$AI$7:$AI$506,0)))</f>
        <v/>
      </c>
      <c r="Q351" s="34" t="n">
        <f aca="false">IF(L351&gt;$B$6,Q350,Q350+O351)</f>
        <v>22057.5</v>
      </c>
      <c r="R351" s="34" t="str">
        <f aca="false">IF(L351&gt;$B$6,"",Q351-MAX($Q$5:Q351))</f>
        <v/>
      </c>
    </row>
    <row r="352" customFormat="false" ht="15" hidden="false" customHeight="false" outlineLevel="0" collapsed="false">
      <c r="L352" s="0" t="n">
        <v>347</v>
      </c>
      <c r="M352" s="37" t="str">
        <f aca="false">IF(L352&gt;$B$6,"",INDEX(Example!$P$7:$P$506,MATCH(L352,Example!$AI$7:$AI$506,0)))</f>
        <v/>
      </c>
      <c r="N352" s="0" t="str">
        <f aca="false">IF(L352&gt;$B$6,"",INDEX(Example!$A$7:$A$506,MATCH(L352,Example!$AI$7:$AI$506,0)))</f>
        <v/>
      </c>
      <c r="O352" s="34" t="str">
        <f aca="false">IF(L352&gt;$B$6,"",INDEX(Example!$AC$7:$AC$506,MATCH(L352,Example!$AI$7:$AI$506,0)))</f>
        <v/>
      </c>
      <c r="P352" s="35" t="str">
        <f aca="false">IF(L352&gt;$B$6,"",INDEX(Example!$AD$7:$AD$506,MATCH(L352,Example!$AI$7:$AI$506,0)))</f>
        <v/>
      </c>
      <c r="Q352" s="34" t="n">
        <f aca="false">IF(L352&gt;$B$6,Q351,Q351+O352)</f>
        <v>22057.5</v>
      </c>
      <c r="R352" s="34" t="str">
        <f aca="false">IF(L352&gt;$B$6,"",Q352-MAX($Q$5:Q352))</f>
        <v/>
      </c>
    </row>
    <row r="353" customFormat="false" ht="15" hidden="false" customHeight="false" outlineLevel="0" collapsed="false">
      <c r="L353" s="0" t="n">
        <v>348</v>
      </c>
      <c r="M353" s="37" t="str">
        <f aca="false">IF(L353&gt;$B$6,"",INDEX(Example!$P$7:$P$506,MATCH(L353,Example!$AI$7:$AI$506,0)))</f>
        <v/>
      </c>
      <c r="N353" s="0" t="str">
        <f aca="false">IF(L353&gt;$B$6,"",INDEX(Example!$A$7:$A$506,MATCH(L353,Example!$AI$7:$AI$506,0)))</f>
        <v/>
      </c>
      <c r="O353" s="34" t="str">
        <f aca="false">IF(L353&gt;$B$6,"",INDEX(Example!$AC$7:$AC$506,MATCH(L353,Example!$AI$7:$AI$506,0)))</f>
        <v/>
      </c>
      <c r="P353" s="35" t="str">
        <f aca="false">IF(L353&gt;$B$6,"",INDEX(Example!$AD$7:$AD$506,MATCH(L353,Example!$AI$7:$AI$506,0)))</f>
        <v/>
      </c>
      <c r="Q353" s="34" t="n">
        <f aca="false">IF(L353&gt;$B$6,Q352,Q352+O353)</f>
        <v>22057.5</v>
      </c>
      <c r="R353" s="34" t="str">
        <f aca="false">IF(L353&gt;$B$6,"",Q353-MAX($Q$5:Q353))</f>
        <v/>
      </c>
    </row>
    <row r="354" customFormat="false" ht="15" hidden="false" customHeight="false" outlineLevel="0" collapsed="false">
      <c r="L354" s="0" t="n">
        <v>349</v>
      </c>
      <c r="M354" s="37" t="str">
        <f aca="false">IF(L354&gt;$B$6,"",INDEX(Example!$P$7:$P$506,MATCH(L354,Example!$AI$7:$AI$506,0)))</f>
        <v/>
      </c>
      <c r="N354" s="0" t="str">
        <f aca="false">IF(L354&gt;$B$6,"",INDEX(Example!$A$7:$A$506,MATCH(L354,Example!$AI$7:$AI$506,0)))</f>
        <v/>
      </c>
      <c r="O354" s="34" t="str">
        <f aca="false">IF(L354&gt;$B$6,"",INDEX(Example!$AC$7:$AC$506,MATCH(L354,Example!$AI$7:$AI$506,0)))</f>
        <v/>
      </c>
      <c r="P354" s="35" t="str">
        <f aca="false">IF(L354&gt;$B$6,"",INDEX(Example!$AD$7:$AD$506,MATCH(L354,Example!$AI$7:$AI$506,0)))</f>
        <v/>
      </c>
      <c r="Q354" s="34" t="n">
        <f aca="false">IF(L354&gt;$B$6,Q353,Q353+O354)</f>
        <v>22057.5</v>
      </c>
      <c r="R354" s="34" t="str">
        <f aca="false">IF(L354&gt;$B$6,"",Q354-MAX($Q$5:Q354))</f>
        <v/>
      </c>
    </row>
    <row r="355" customFormat="false" ht="15" hidden="false" customHeight="false" outlineLevel="0" collapsed="false">
      <c r="L355" s="0" t="n">
        <v>350</v>
      </c>
      <c r="M355" s="37" t="str">
        <f aca="false">IF(L355&gt;$B$6,"",INDEX(Example!$P$7:$P$506,MATCH(L355,Example!$AI$7:$AI$506,0)))</f>
        <v/>
      </c>
      <c r="N355" s="0" t="str">
        <f aca="false">IF(L355&gt;$B$6,"",INDEX(Example!$A$7:$A$506,MATCH(L355,Example!$AI$7:$AI$506,0)))</f>
        <v/>
      </c>
      <c r="O355" s="34" t="str">
        <f aca="false">IF(L355&gt;$B$6,"",INDEX(Example!$AC$7:$AC$506,MATCH(L355,Example!$AI$7:$AI$506,0)))</f>
        <v/>
      </c>
      <c r="P355" s="35" t="str">
        <f aca="false">IF(L355&gt;$B$6,"",INDEX(Example!$AD$7:$AD$506,MATCH(L355,Example!$AI$7:$AI$506,0)))</f>
        <v/>
      </c>
      <c r="Q355" s="34" t="n">
        <f aca="false">IF(L355&gt;$B$6,Q354,Q354+O355)</f>
        <v>22057.5</v>
      </c>
      <c r="R355" s="34" t="str">
        <f aca="false">IF(L355&gt;$B$6,"",Q355-MAX($Q$5:Q355))</f>
        <v/>
      </c>
    </row>
    <row r="356" customFormat="false" ht="15" hidden="false" customHeight="false" outlineLevel="0" collapsed="false">
      <c r="L356" s="0" t="n">
        <v>351</v>
      </c>
      <c r="M356" s="37" t="str">
        <f aca="false">IF(L356&gt;$B$6,"",INDEX(Example!$P$7:$P$506,MATCH(L356,Example!$AI$7:$AI$506,0)))</f>
        <v/>
      </c>
      <c r="N356" s="0" t="str">
        <f aca="false">IF(L356&gt;$B$6,"",INDEX(Example!$A$7:$A$506,MATCH(L356,Example!$AI$7:$AI$506,0)))</f>
        <v/>
      </c>
      <c r="O356" s="34" t="str">
        <f aca="false">IF(L356&gt;$B$6,"",INDEX(Example!$AC$7:$AC$506,MATCH(L356,Example!$AI$7:$AI$506,0)))</f>
        <v/>
      </c>
      <c r="P356" s="35" t="str">
        <f aca="false">IF(L356&gt;$B$6,"",INDEX(Example!$AD$7:$AD$506,MATCH(L356,Example!$AI$7:$AI$506,0)))</f>
        <v/>
      </c>
      <c r="Q356" s="34" t="n">
        <f aca="false">IF(L356&gt;$B$6,Q355,Q355+O356)</f>
        <v>22057.5</v>
      </c>
      <c r="R356" s="34" t="str">
        <f aca="false">IF(L356&gt;$B$6,"",Q356-MAX($Q$5:Q356))</f>
        <v/>
      </c>
    </row>
    <row r="357" customFormat="false" ht="15" hidden="false" customHeight="false" outlineLevel="0" collapsed="false">
      <c r="L357" s="0" t="n">
        <v>352</v>
      </c>
      <c r="M357" s="37" t="str">
        <f aca="false">IF(L357&gt;$B$6,"",INDEX(Example!$P$7:$P$506,MATCH(L357,Example!$AI$7:$AI$506,0)))</f>
        <v/>
      </c>
      <c r="N357" s="0" t="str">
        <f aca="false">IF(L357&gt;$B$6,"",INDEX(Example!$A$7:$A$506,MATCH(L357,Example!$AI$7:$AI$506,0)))</f>
        <v/>
      </c>
      <c r="O357" s="34" t="str">
        <f aca="false">IF(L357&gt;$B$6,"",INDEX(Example!$AC$7:$AC$506,MATCH(L357,Example!$AI$7:$AI$506,0)))</f>
        <v/>
      </c>
      <c r="P357" s="35" t="str">
        <f aca="false">IF(L357&gt;$B$6,"",INDEX(Example!$AD$7:$AD$506,MATCH(L357,Example!$AI$7:$AI$506,0)))</f>
        <v/>
      </c>
      <c r="Q357" s="34" t="n">
        <f aca="false">IF(L357&gt;$B$6,Q356,Q356+O357)</f>
        <v>22057.5</v>
      </c>
      <c r="R357" s="34" t="str">
        <f aca="false">IF(L357&gt;$B$6,"",Q357-MAX($Q$5:Q357))</f>
        <v/>
      </c>
    </row>
    <row r="358" customFormat="false" ht="15" hidden="false" customHeight="false" outlineLevel="0" collapsed="false">
      <c r="L358" s="0" t="n">
        <v>353</v>
      </c>
      <c r="M358" s="37" t="str">
        <f aca="false">IF(L358&gt;$B$6,"",INDEX(Example!$P$7:$P$506,MATCH(L358,Example!$AI$7:$AI$506,0)))</f>
        <v/>
      </c>
      <c r="N358" s="0" t="str">
        <f aca="false">IF(L358&gt;$B$6,"",INDEX(Example!$A$7:$A$506,MATCH(L358,Example!$AI$7:$AI$506,0)))</f>
        <v/>
      </c>
      <c r="O358" s="34" t="str">
        <f aca="false">IF(L358&gt;$B$6,"",INDEX(Example!$AC$7:$AC$506,MATCH(L358,Example!$AI$7:$AI$506,0)))</f>
        <v/>
      </c>
      <c r="P358" s="35" t="str">
        <f aca="false">IF(L358&gt;$B$6,"",INDEX(Example!$AD$7:$AD$506,MATCH(L358,Example!$AI$7:$AI$506,0)))</f>
        <v/>
      </c>
      <c r="Q358" s="34" t="n">
        <f aca="false">IF(L358&gt;$B$6,Q357,Q357+O358)</f>
        <v>22057.5</v>
      </c>
      <c r="R358" s="34" t="str">
        <f aca="false">IF(L358&gt;$B$6,"",Q358-MAX($Q$5:Q358))</f>
        <v/>
      </c>
    </row>
    <row r="359" customFormat="false" ht="15" hidden="false" customHeight="false" outlineLevel="0" collapsed="false">
      <c r="L359" s="0" t="n">
        <v>354</v>
      </c>
      <c r="M359" s="37" t="str">
        <f aca="false">IF(L359&gt;$B$6,"",INDEX(Example!$P$7:$P$506,MATCH(L359,Example!$AI$7:$AI$506,0)))</f>
        <v/>
      </c>
      <c r="N359" s="0" t="str">
        <f aca="false">IF(L359&gt;$B$6,"",INDEX(Example!$A$7:$A$506,MATCH(L359,Example!$AI$7:$AI$506,0)))</f>
        <v/>
      </c>
      <c r="O359" s="34" t="str">
        <f aca="false">IF(L359&gt;$B$6,"",INDEX(Example!$AC$7:$AC$506,MATCH(L359,Example!$AI$7:$AI$506,0)))</f>
        <v/>
      </c>
      <c r="P359" s="35" t="str">
        <f aca="false">IF(L359&gt;$B$6,"",INDEX(Example!$AD$7:$AD$506,MATCH(L359,Example!$AI$7:$AI$506,0)))</f>
        <v/>
      </c>
      <c r="Q359" s="34" t="n">
        <f aca="false">IF(L359&gt;$B$6,Q358,Q358+O359)</f>
        <v>22057.5</v>
      </c>
      <c r="R359" s="34" t="str">
        <f aca="false">IF(L359&gt;$B$6,"",Q359-MAX($Q$5:Q359))</f>
        <v/>
      </c>
    </row>
    <row r="360" customFormat="false" ht="15" hidden="false" customHeight="false" outlineLevel="0" collapsed="false">
      <c r="L360" s="0" t="n">
        <v>355</v>
      </c>
      <c r="M360" s="37" t="str">
        <f aca="false">IF(L360&gt;$B$6,"",INDEX(Example!$P$7:$P$506,MATCH(L360,Example!$AI$7:$AI$506,0)))</f>
        <v/>
      </c>
      <c r="N360" s="0" t="str">
        <f aca="false">IF(L360&gt;$B$6,"",INDEX(Example!$A$7:$A$506,MATCH(L360,Example!$AI$7:$AI$506,0)))</f>
        <v/>
      </c>
      <c r="O360" s="34" t="str">
        <f aca="false">IF(L360&gt;$B$6,"",INDEX(Example!$AC$7:$AC$506,MATCH(L360,Example!$AI$7:$AI$506,0)))</f>
        <v/>
      </c>
      <c r="P360" s="35" t="str">
        <f aca="false">IF(L360&gt;$B$6,"",INDEX(Example!$AD$7:$AD$506,MATCH(L360,Example!$AI$7:$AI$506,0)))</f>
        <v/>
      </c>
      <c r="Q360" s="34" t="n">
        <f aca="false">IF(L360&gt;$B$6,Q359,Q359+O360)</f>
        <v>22057.5</v>
      </c>
      <c r="R360" s="34" t="str">
        <f aca="false">IF(L360&gt;$B$6,"",Q360-MAX($Q$5:Q360))</f>
        <v/>
      </c>
    </row>
    <row r="361" customFormat="false" ht="15" hidden="false" customHeight="false" outlineLevel="0" collapsed="false">
      <c r="L361" s="0" t="n">
        <v>356</v>
      </c>
      <c r="M361" s="37" t="str">
        <f aca="false">IF(L361&gt;$B$6,"",INDEX(Example!$P$7:$P$506,MATCH(L361,Example!$AI$7:$AI$506,0)))</f>
        <v/>
      </c>
      <c r="N361" s="0" t="str">
        <f aca="false">IF(L361&gt;$B$6,"",INDEX(Example!$A$7:$A$506,MATCH(L361,Example!$AI$7:$AI$506,0)))</f>
        <v/>
      </c>
      <c r="O361" s="34" t="str">
        <f aca="false">IF(L361&gt;$B$6,"",INDEX(Example!$AC$7:$AC$506,MATCH(L361,Example!$AI$7:$AI$506,0)))</f>
        <v/>
      </c>
      <c r="P361" s="35" t="str">
        <f aca="false">IF(L361&gt;$B$6,"",INDEX(Example!$AD$7:$AD$506,MATCH(L361,Example!$AI$7:$AI$506,0)))</f>
        <v/>
      </c>
      <c r="Q361" s="34" t="n">
        <f aca="false">IF(L361&gt;$B$6,Q360,Q360+O361)</f>
        <v>22057.5</v>
      </c>
      <c r="R361" s="34" t="str">
        <f aca="false">IF(L361&gt;$B$6,"",Q361-MAX($Q$5:Q361))</f>
        <v/>
      </c>
    </row>
    <row r="362" customFormat="false" ht="15" hidden="false" customHeight="false" outlineLevel="0" collapsed="false">
      <c r="L362" s="0" t="n">
        <v>357</v>
      </c>
      <c r="M362" s="37" t="str">
        <f aca="false">IF(L362&gt;$B$6,"",INDEX(Example!$P$7:$P$506,MATCH(L362,Example!$AI$7:$AI$506,0)))</f>
        <v/>
      </c>
      <c r="N362" s="0" t="str">
        <f aca="false">IF(L362&gt;$B$6,"",INDEX(Example!$A$7:$A$506,MATCH(L362,Example!$AI$7:$AI$506,0)))</f>
        <v/>
      </c>
      <c r="O362" s="34" t="str">
        <f aca="false">IF(L362&gt;$B$6,"",INDEX(Example!$AC$7:$AC$506,MATCH(L362,Example!$AI$7:$AI$506,0)))</f>
        <v/>
      </c>
      <c r="P362" s="35" t="str">
        <f aca="false">IF(L362&gt;$B$6,"",INDEX(Example!$AD$7:$AD$506,MATCH(L362,Example!$AI$7:$AI$506,0)))</f>
        <v/>
      </c>
      <c r="Q362" s="34" t="n">
        <f aca="false">IF(L362&gt;$B$6,Q361,Q361+O362)</f>
        <v>22057.5</v>
      </c>
      <c r="R362" s="34" t="str">
        <f aca="false">IF(L362&gt;$B$6,"",Q362-MAX($Q$5:Q362))</f>
        <v/>
      </c>
    </row>
    <row r="363" customFormat="false" ht="15" hidden="false" customHeight="false" outlineLevel="0" collapsed="false">
      <c r="L363" s="0" t="n">
        <v>358</v>
      </c>
      <c r="M363" s="37" t="str">
        <f aca="false">IF(L363&gt;$B$6,"",INDEX(Example!$P$7:$P$506,MATCH(L363,Example!$AI$7:$AI$506,0)))</f>
        <v/>
      </c>
      <c r="N363" s="0" t="str">
        <f aca="false">IF(L363&gt;$B$6,"",INDEX(Example!$A$7:$A$506,MATCH(L363,Example!$AI$7:$AI$506,0)))</f>
        <v/>
      </c>
      <c r="O363" s="34" t="str">
        <f aca="false">IF(L363&gt;$B$6,"",INDEX(Example!$AC$7:$AC$506,MATCH(L363,Example!$AI$7:$AI$506,0)))</f>
        <v/>
      </c>
      <c r="P363" s="35" t="str">
        <f aca="false">IF(L363&gt;$B$6,"",INDEX(Example!$AD$7:$AD$506,MATCH(L363,Example!$AI$7:$AI$506,0)))</f>
        <v/>
      </c>
      <c r="Q363" s="34" t="n">
        <f aca="false">IF(L363&gt;$B$6,Q362,Q362+O363)</f>
        <v>22057.5</v>
      </c>
      <c r="R363" s="34" t="str">
        <f aca="false">IF(L363&gt;$B$6,"",Q363-MAX($Q$5:Q363))</f>
        <v/>
      </c>
    </row>
    <row r="364" customFormat="false" ht="15" hidden="false" customHeight="false" outlineLevel="0" collapsed="false">
      <c r="L364" s="0" t="n">
        <v>359</v>
      </c>
      <c r="M364" s="37" t="str">
        <f aca="false">IF(L364&gt;$B$6,"",INDEX(Example!$P$7:$P$506,MATCH(L364,Example!$AI$7:$AI$506,0)))</f>
        <v/>
      </c>
      <c r="N364" s="0" t="str">
        <f aca="false">IF(L364&gt;$B$6,"",INDEX(Example!$A$7:$A$506,MATCH(L364,Example!$AI$7:$AI$506,0)))</f>
        <v/>
      </c>
      <c r="O364" s="34" t="str">
        <f aca="false">IF(L364&gt;$B$6,"",INDEX(Example!$AC$7:$AC$506,MATCH(L364,Example!$AI$7:$AI$506,0)))</f>
        <v/>
      </c>
      <c r="P364" s="35" t="str">
        <f aca="false">IF(L364&gt;$B$6,"",INDEX(Example!$AD$7:$AD$506,MATCH(L364,Example!$AI$7:$AI$506,0)))</f>
        <v/>
      </c>
      <c r="Q364" s="34" t="n">
        <f aca="false">IF(L364&gt;$B$6,Q363,Q363+O364)</f>
        <v>22057.5</v>
      </c>
      <c r="R364" s="34" t="str">
        <f aca="false">IF(L364&gt;$B$6,"",Q364-MAX($Q$5:Q364))</f>
        <v/>
      </c>
    </row>
    <row r="365" customFormat="false" ht="15" hidden="false" customHeight="false" outlineLevel="0" collapsed="false">
      <c r="L365" s="0" t="n">
        <v>360</v>
      </c>
      <c r="M365" s="37" t="str">
        <f aca="false">IF(L365&gt;$B$6,"",INDEX(Example!$P$7:$P$506,MATCH(L365,Example!$AI$7:$AI$506,0)))</f>
        <v/>
      </c>
      <c r="N365" s="0" t="str">
        <f aca="false">IF(L365&gt;$B$6,"",INDEX(Example!$A$7:$A$506,MATCH(L365,Example!$AI$7:$AI$506,0)))</f>
        <v/>
      </c>
      <c r="O365" s="34" t="str">
        <f aca="false">IF(L365&gt;$B$6,"",INDEX(Example!$AC$7:$AC$506,MATCH(L365,Example!$AI$7:$AI$506,0)))</f>
        <v/>
      </c>
      <c r="P365" s="35" t="str">
        <f aca="false">IF(L365&gt;$B$6,"",INDEX(Example!$AD$7:$AD$506,MATCH(L365,Example!$AI$7:$AI$506,0)))</f>
        <v/>
      </c>
      <c r="Q365" s="34" t="n">
        <f aca="false">IF(L365&gt;$B$6,Q364,Q364+O365)</f>
        <v>22057.5</v>
      </c>
      <c r="R365" s="34" t="str">
        <f aca="false">IF(L365&gt;$B$6,"",Q365-MAX($Q$5:Q365))</f>
        <v/>
      </c>
    </row>
    <row r="366" customFormat="false" ht="15" hidden="false" customHeight="false" outlineLevel="0" collapsed="false">
      <c r="L366" s="0" t="n">
        <v>361</v>
      </c>
      <c r="M366" s="37" t="str">
        <f aca="false">IF(L366&gt;$B$6,"",INDEX(Example!$P$7:$P$506,MATCH(L366,Example!$AI$7:$AI$506,0)))</f>
        <v/>
      </c>
      <c r="N366" s="0" t="str">
        <f aca="false">IF(L366&gt;$B$6,"",INDEX(Example!$A$7:$A$506,MATCH(L366,Example!$AI$7:$AI$506,0)))</f>
        <v/>
      </c>
      <c r="O366" s="34" t="str">
        <f aca="false">IF(L366&gt;$B$6,"",INDEX(Example!$AC$7:$AC$506,MATCH(L366,Example!$AI$7:$AI$506,0)))</f>
        <v/>
      </c>
      <c r="P366" s="35" t="str">
        <f aca="false">IF(L366&gt;$B$6,"",INDEX(Example!$AD$7:$AD$506,MATCH(L366,Example!$AI$7:$AI$506,0)))</f>
        <v/>
      </c>
      <c r="Q366" s="34" t="n">
        <f aca="false">IF(L366&gt;$B$6,Q365,Q365+O366)</f>
        <v>22057.5</v>
      </c>
      <c r="R366" s="34" t="str">
        <f aca="false">IF(L366&gt;$B$6,"",Q366-MAX($Q$5:Q366))</f>
        <v/>
      </c>
    </row>
    <row r="367" customFormat="false" ht="15" hidden="false" customHeight="false" outlineLevel="0" collapsed="false">
      <c r="L367" s="0" t="n">
        <v>362</v>
      </c>
      <c r="M367" s="37" t="str">
        <f aca="false">IF(L367&gt;$B$6,"",INDEX(Example!$P$7:$P$506,MATCH(L367,Example!$AI$7:$AI$506,0)))</f>
        <v/>
      </c>
      <c r="N367" s="0" t="str">
        <f aca="false">IF(L367&gt;$B$6,"",INDEX(Example!$A$7:$A$506,MATCH(L367,Example!$AI$7:$AI$506,0)))</f>
        <v/>
      </c>
      <c r="O367" s="34" t="str">
        <f aca="false">IF(L367&gt;$B$6,"",INDEX(Example!$AC$7:$AC$506,MATCH(L367,Example!$AI$7:$AI$506,0)))</f>
        <v/>
      </c>
      <c r="P367" s="35" t="str">
        <f aca="false">IF(L367&gt;$B$6,"",INDEX(Example!$AD$7:$AD$506,MATCH(L367,Example!$AI$7:$AI$506,0)))</f>
        <v/>
      </c>
      <c r="Q367" s="34" t="n">
        <f aca="false">IF(L367&gt;$B$6,Q366,Q366+O367)</f>
        <v>22057.5</v>
      </c>
      <c r="R367" s="34" t="str">
        <f aca="false">IF(L367&gt;$B$6,"",Q367-MAX($Q$5:Q367))</f>
        <v/>
      </c>
    </row>
    <row r="368" customFormat="false" ht="15" hidden="false" customHeight="false" outlineLevel="0" collapsed="false">
      <c r="L368" s="0" t="n">
        <v>363</v>
      </c>
      <c r="M368" s="37" t="str">
        <f aca="false">IF(L368&gt;$B$6,"",INDEX(Example!$P$7:$P$506,MATCH(L368,Example!$AI$7:$AI$506,0)))</f>
        <v/>
      </c>
      <c r="N368" s="0" t="str">
        <f aca="false">IF(L368&gt;$B$6,"",INDEX(Example!$A$7:$A$506,MATCH(L368,Example!$AI$7:$AI$506,0)))</f>
        <v/>
      </c>
      <c r="O368" s="34" t="str">
        <f aca="false">IF(L368&gt;$B$6,"",INDEX(Example!$AC$7:$AC$506,MATCH(L368,Example!$AI$7:$AI$506,0)))</f>
        <v/>
      </c>
      <c r="P368" s="35" t="str">
        <f aca="false">IF(L368&gt;$B$6,"",INDEX(Example!$AD$7:$AD$506,MATCH(L368,Example!$AI$7:$AI$506,0)))</f>
        <v/>
      </c>
      <c r="Q368" s="34" t="n">
        <f aca="false">IF(L368&gt;$B$6,Q367,Q367+O368)</f>
        <v>22057.5</v>
      </c>
      <c r="R368" s="34" t="str">
        <f aca="false">IF(L368&gt;$B$6,"",Q368-MAX($Q$5:Q368))</f>
        <v/>
      </c>
    </row>
    <row r="369" customFormat="false" ht="15" hidden="false" customHeight="false" outlineLevel="0" collapsed="false">
      <c r="L369" s="0" t="n">
        <v>364</v>
      </c>
      <c r="M369" s="37" t="str">
        <f aca="false">IF(L369&gt;$B$6,"",INDEX(Example!$P$7:$P$506,MATCH(L369,Example!$AI$7:$AI$506,0)))</f>
        <v/>
      </c>
      <c r="N369" s="0" t="str">
        <f aca="false">IF(L369&gt;$B$6,"",INDEX(Example!$A$7:$A$506,MATCH(L369,Example!$AI$7:$AI$506,0)))</f>
        <v/>
      </c>
      <c r="O369" s="34" t="str">
        <f aca="false">IF(L369&gt;$B$6,"",INDEX(Example!$AC$7:$AC$506,MATCH(L369,Example!$AI$7:$AI$506,0)))</f>
        <v/>
      </c>
      <c r="P369" s="35" t="str">
        <f aca="false">IF(L369&gt;$B$6,"",INDEX(Example!$AD$7:$AD$506,MATCH(L369,Example!$AI$7:$AI$506,0)))</f>
        <v/>
      </c>
      <c r="Q369" s="34" t="n">
        <f aca="false">IF(L369&gt;$B$6,Q368,Q368+O369)</f>
        <v>22057.5</v>
      </c>
      <c r="R369" s="34" t="str">
        <f aca="false">IF(L369&gt;$B$6,"",Q369-MAX($Q$5:Q369))</f>
        <v/>
      </c>
    </row>
    <row r="370" customFormat="false" ht="15" hidden="false" customHeight="false" outlineLevel="0" collapsed="false">
      <c r="L370" s="0" t="n">
        <v>365</v>
      </c>
      <c r="M370" s="37" t="str">
        <f aca="false">IF(L370&gt;$B$6,"",INDEX(Example!$P$7:$P$506,MATCH(L370,Example!$AI$7:$AI$506,0)))</f>
        <v/>
      </c>
      <c r="N370" s="0" t="str">
        <f aca="false">IF(L370&gt;$B$6,"",INDEX(Example!$A$7:$A$506,MATCH(L370,Example!$AI$7:$AI$506,0)))</f>
        <v/>
      </c>
      <c r="O370" s="34" t="str">
        <f aca="false">IF(L370&gt;$B$6,"",INDEX(Example!$AC$7:$AC$506,MATCH(L370,Example!$AI$7:$AI$506,0)))</f>
        <v/>
      </c>
      <c r="P370" s="35" t="str">
        <f aca="false">IF(L370&gt;$B$6,"",INDEX(Example!$AD$7:$AD$506,MATCH(L370,Example!$AI$7:$AI$506,0)))</f>
        <v/>
      </c>
      <c r="Q370" s="34" t="n">
        <f aca="false">IF(L370&gt;$B$6,Q369,Q369+O370)</f>
        <v>22057.5</v>
      </c>
      <c r="R370" s="34" t="str">
        <f aca="false">IF(L370&gt;$B$6,"",Q370-MAX($Q$5:Q370))</f>
        <v/>
      </c>
    </row>
    <row r="371" customFormat="false" ht="15" hidden="false" customHeight="false" outlineLevel="0" collapsed="false">
      <c r="L371" s="0" t="n">
        <v>366</v>
      </c>
      <c r="M371" s="37" t="str">
        <f aca="false">IF(L371&gt;$B$6,"",INDEX(Example!$P$7:$P$506,MATCH(L371,Example!$AI$7:$AI$506,0)))</f>
        <v/>
      </c>
      <c r="N371" s="0" t="str">
        <f aca="false">IF(L371&gt;$B$6,"",INDEX(Example!$A$7:$A$506,MATCH(L371,Example!$AI$7:$AI$506,0)))</f>
        <v/>
      </c>
      <c r="O371" s="34" t="str">
        <f aca="false">IF(L371&gt;$B$6,"",INDEX(Example!$AC$7:$AC$506,MATCH(L371,Example!$AI$7:$AI$506,0)))</f>
        <v/>
      </c>
      <c r="P371" s="35" t="str">
        <f aca="false">IF(L371&gt;$B$6,"",INDEX(Example!$AD$7:$AD$506,MATCH(L371,Example!$AI$7:$AI$506,0)))</f>
        <v/>
      </c>
      <c r="Q371" s="34" t="n">
        <f aca="false">IF(L371&gt;$B$6,Q370,Q370+O371)</f>
        <v>22057.5</v>
      </c>
      <c r="R371" s="34" t="str">
        <f aca="false">IF(L371&gt;$B$6,"",Q371-MAX($Q$5:Q371))</f>
        <v/>
      </c>
    </row>
    <row r="372" customFormat="false" ht="15" hidden="false" customHeight="false" outlineLevel="0" collapsed="false">
      <c r="L372" s="0" t="n">
        <v>367</v>
      </c>
      <c r="M372" s="37" t="str">
        <f aca="false">IF(L372&gt;$B$6,"",INDEX(Example!$P$7:$P$506,MATCH(L372,Example!$AI$7:$AI$506,0)))</f>
        <v/>
      </c>
      <c r="N372" s="0" t="str">
        <f aca="false">IF(L372&gt;$B$6,"",INDEX(Example!$A$7:$A$506,MATCH(L372,Example!$AI$7:$AI$506,0)))</f>
        <v/>
      </c>
      <c r="O372" s="34" t="str">
        <f aca="false">IF(L372&gt;$B$6,"",INDEX(Example!$AC$7:$AC$506,MATCH(L372,Example!$AI$7:$AI$506,0)))</f>
        <v/>
      </c>
      <c r="P372" s="35" t="str">
        <f aca="false">IF(L372&gt;$B$6,"",INDEX(Example!$AD$7:$AD$506,MATCH(L372,Example!$AI$7:$AI$506,0)))</f>
        <v/>
      </c>
      <c r="Q372" s="34" t="n">
        <f aca="false">IF(L372&gt;$B$6,Q371,Q371+O372)</f>
        <v>22057.5</v>
      </c>
      <c r="R372" s="34" t="str">
        <f aca="false">IF(L372&gt;$B$6,"",Q372-MAX($Q$5:Q372))</f>
        <v/>
      </c>
    </row>
    <row r="373" customFormat="false" ht="15" hidden="false" customHeight="false" outlineLevel="0" collapsed="false">
      <c r="L373" s="0" t="n">
        <v>368</v>
      </c>
      <c r="M373" s="37" t="str">
        <f aca="false">IF(L373&gt;$B$6,"",INDEX(Example!$P$7:$P$506,MATCH(L373,Example!$AI$7:$AI$506,0)))</f>
        <v/>
      </c>
      <c r="N373" s="0" t="str">
        <f aca="false">IF(L373&gt;$B$6,"",INDEX(Example!$A$7:$A$506,MATCH(L373,Example!$AI$7:$AI$506,0)))</f>
        <v/>
      </c>
      <c r="O373" s="34" t="str">
        <f aca="false">IF(L373&gt;$B$6,"",INDEX(Example!$AC$7:$AC$506,MATCH(L373,Example!$AI$7:$AI$506,0)))</f>
        <v/>
      </c>
      <c r="P373" s="35" t="str">
        <f aca="false">IF(L373&gt;$B$6,"",INDEX(Example!$AD$7:$AD$506,MATCH(L373,Example!$AI$7:$AI$506,0)))</f>
        <v/>
      </c>
      <c r="Q373" s="34" t="n">
        <f aca="false">IF(L373&gt;$B$6,Q372,Q372+O373)</f>
        <v>22057.5</v>
      </c>
      <c r="R373" s="34" t="str">
        <f aca="false">IF(L373&gt;$B$6,"",Q373-MAX($Q$5:Q373))</f>
        <v/>
      </c>
    </row>
    <row r="374" customFormat="false" ht="15" hidden="false" customHeight="false" outlineLevel="0" collapsed="false">
      <c r="L374" s="0" t="n">
        <v>369</v>
      </c>
      <c r="M374" s="37" t="str">
        <f aca="false">IF(L374&gt;$B$6,"",INDEX(Example!$P$7:$P$506,MATCH(L374,Example!$AI$7:$AI$506,0)))</f>
        <v/>
      </c>
      <c r="N374" s="0" t="str">
        <f aca="false">IF(L374&gt;$B$6,"",INDEX(Example!$A$7:$A$506,MATCH(L374,Example!$AI$7:$AI$506,0)))</f>
        <v/>
      </c>
      <c r="O374" s="34" t="str">
        <f aca="false">IF(L374&gt;$B$6,"",INDEX(Example!$AC$7:$AC$506,MATCH(L374,Example!$AI$7:$AI$506,0)))</f>
        <v/>
      </c>
      <c r="P374" s="35" t="str">
        <f aca="false">IF(L374&gt;$B$6,"",INDEX(Example!$AD$7:$AD$506,MATCH(L374,Example!$AI$7:$AI$506,0)))</f>
        <v/>
      </c>
      <c r="Q374" s="34" t="n">
        <f aca="false">IF(L374&gt;$B$6,Q373,Q373+O374)</f>
        <v>22057.5</v>
      </c>
      <c r="R374" s="34" t="str">
        <f aca="false">IF(L374&gt;$B$6,"",Q374-MAX($Q$5:Q374))</f>
        <v/>
      </c>
    </row>
    <row r="375" customFormat="false" ht="15" hidden="false" customHeight="false" outlineLevel="0" collapsed="false">
      <c r="L375" s="0" t="n">
        <v>370</v>
      </c>
      <c r="M375" s="37" t="str">
        <f aca="false">IF(L375&gt;$B$6,"",INDEX(Example!$P$7:$P$506,MATCH(L375,Example!$AI$7:$AI$506,0)))</f>
        <v/>
      </c>
      <c r="N375" s="0" t="str">
        <f aca="false">IF(L375&gt;$B$6,"",INDEX(Example!$A$7:$A$506,MATCH(L375,Example!$AI$7:$AI$506,0)))</f>
        <v/>
      </c>
      <c r="O375" s="34" t="str">
        <f aca="false">IF(L375&gt;$B$6,"",INDEX(Example!$AC$7:$AC$506,MATCH(L375,Example!$AI$7:$AI$506,0)))</f>
        <v/>
      </c>
      <c r="P375" s="35" t="str">
        <f aca="false">IF(L375&gt;$B$6,"",INDEX(Example!$AD$7:$AD$506,MATCH(L375,Example!$AI$7:$AI$506,0)))</f>
        <v/>
      </c>
      <c r="Q375" s="34" t="n">
        <f aca="false">IF(L375&gt;$B$6,Q374,Q374+O375)</f>
        <v>22057.5</v>
      </c>
      <c r="R375" s="34" t="str">
        <f aca="false">IF(L375&gt;$B$6,"",Q375-MAX($Q$5:Q375))</f>
        <v/>
      </c>
    </row>
    <row r="376" customFormat="false" ht="15" hidden="false" customHeight="false" outlineLevel="0" collapsed="false">
      <c r="L376" s="0" t="n">
        <v>371</v>
      </c>
      <c r="M376" s="37" t="str">
        <f aca="false">IF(L376&gt;$B$6,"",INDEX(Example!$P$7:$P$506,MATCH(L376,Example!$AI$7:$AI$506,0)))</f>
        <v/>
      </c>
      <c r="N376" s="0" t="str">
        <f aca="false">IF(L376&gt;$B$6,"",INDEX(Example!$A$7:$A$506,MATCH(L376,Example!$AI$7:$AI$506,0)))</f>
        <v/>
      </c>
      <c r="O376" s="34" t="str">
        <f aca="false">IF(L376&gt;$B$6,"",INDEX(Example!$AC$7:$AC$506,MATCH(L376,Example!$AI$7:$AI$506,0)))</f>
        <v/>
      </c>
      <c r="P376" s="35" t="str">
        <f aca="false">IF(L376&gt;$B$6,"",INDEX(Example!$AD$7:$AD$506,MATCH(L376,Example!$AI$7:$AI$506,0)))</f>
        <v/>
      </c>
      <c r="Q376" s="34" t="n">
        <f aca="false">IF(L376&gt;$B$6,Q375,Q375+O376)</f>
        <v>22057.5</v>
      </c>
      <c r="R376" s="34" t="str">
        <f aca="false">IF(L376&gt;$B$6,"",Q376-MAX($Q$5:Q376))</f>
        <v/>
      </c>
    </row>
    <row r="377" customFormat="false" ht="15" hidden="false" customHeight="false" outlineLevel="0" collapsed="false">
      <c r="L377" s="0" t="n">
        <v>372</v>
      </c>
      <c r="M377" s="37" t="str">
        <f aca="false">IF(L377&gt;$B$6,"",INDEX(Example!$P$7:$P$506,MATCH(L377,Example!$AI$7:$AI$506,0)))</f>
        <v/>
      </c>
      <c r="N377" s="0" t="str">
        <f aca="false">IF(L377&gt;$B$6,"",INDEX(Example!$A$7:$A$506,MATCH(L377,Example!$AI$7:$AI$506,0)))</f>
        <v/>
      </c>
      <c r="O377" s="34" t="str">
        <f aca="false">IF(L377&gt;$B$6,"",INDEX(Example!$AC$7:$AC$506,MATCH(L377,Example!$AI$7:$AI$506,0)))</f>
        <v/>
      </c>
      <c r="P377" s="35" t="str">
        <f aca="false">IF(L377&gt;$B$6,"",INDEX(Example!$AD$7:$AD$506,MATCH(L377,Example!$AI$7:$AI$506,0)))</f>
        <v/>
      </c>
      <c r="Q377" s="34" t="n">
        <f aca="false">IF(L377&gt;$B$6,Q376,Q376+O377)</f>
        <v>22057.5</v>
      </c>
      <c r="R377" s="34" t="str">
        <f aca="false">IF(L377&gt;$B$6,"",Q377-MAX($Q$5:Q377))</f>
        <v/>
      </c>
    </row>
    <row r="378" customFormat="false" ht="15" hidden="false" customHeight="false" outlineLevel="0" collapsed="false">
      <c r="L378" s="0" t="n">
        <v>373</v>
      </c>
      <c r="M378" s="37" t="str">
        <f aca="false">IF(L378&gt;$B$6,"",INDEX(Example!$P$7:$P$506,MATCH(L378,Example!$AI$7:$AI$506,0)))</f>
        <v/>
      </c>
      <c r="N378" s="0" t="str">
        <f aca="false">IF(L378&gt;$B$6,"",INDEX(Example!$A$7:$A$506,MATCH(L378,Example!$AI$7:$AI$506,0)))</f>
        <v/>
      </c>
      <c r="O378" s="34" t="str">
        <f aca="false">IF(L378&gt;$B$6,"",INDEX(Example!$AC$7:$AC$506,MATCH(L378,Example!$AI$7:$AI$506,0)))</f>
        <v/>
      </c>
      <c r="P378" s="35" t="str">
        <f aca="false">IF(L378&gt;$B$6,"",INDEX(Example!$AD$7:$AD$506,MATCH(L378,Example!$AI$7:$AI$506,0)))</f>
        <v/>
      </c>
      <c r="Q378" s="34" t="n">
        <f aca="false">IF(L378&gt;$B$6,Q377,Q377+O378)</f>
        <v>22057.5</v>
      </c>
      <c r="R378" s="34" t="str">
        <f aca="false">IF(L378&gt;$B$6,"",Q378-MAX($Q$5:Q378))</f>
        <v/>
      </c>
    </row>
    <row r="379" customFormat="false" ht="15" hidden="false" customHeight="false" outlineLevel="0" collapsed="false">
      <c r="L379" s="0" t="n">
        <v>374</v>
      </c>
      <c r="M379" s="37" t="str">
        <f aca="false">IF(L379&gt;$B$6,"",INDEX(Example!$P$7:$P$506,MATCH(L379,Example!$AI$7:$AI$506,0)))</f>
        <v/>
      </c>
      <c r="N379" s="0" t="str">
        <f aca="false">IF(L379&gt;$B$6,"",INDEX(Example!$A$7:$A$506,MATCH(L379,Example!$AI$7:$AI$506,0)))</f>
        <v/>
      </c>
      <c r="O379" s="34" t="str">
        <f aca="false">IF(L379&gt;$B$6,"",INDEX(Example!$AC$7:$AC$506,MATCH(L379,Example!$AI$7:$AI$506,0)))</f>
        <v/>
      </c>
      <c r="P379" s="35" t="str">
        <f aca="false">IF(L379&gt;$B$6,"",INDEX(Example!$AD$7:$AD$506,MATCH(L379,Example!$AI$7:$AI$506,0)))</f>
        <v/>
      </c>
      <c r="Q379" s="34" t="n">
        <f aca="false">IF(L379&gt;$B$6,Q378,Q378+O379)</f>
        <v>22057.5</v>
      </c>
      <c r="R379" s="34" t="str">
        <f aca="false">IF(L379&gt;$B$6,"",Q379-MAX($Q$5:Q379))</f>
        <v/>
      </c>
    </row>
    <row r="380" customFormat="false" ht="15" hidden="false" customHeight="false" outlineLevel="0" collapsed="false">
      <c r="L380" s="0" t="n">
        <v>375</v>
      </c>
      <c r="M380" s="37" t="str">
        <f aca="false">IF(L380&gt;$B$6,"",INDEX(Example!$P$7:$P$506,MATCH(L380,Example!$AI$7:$AI$506,0)))</f>
        <v/>
      </c>
      <c r="N380" s="0" t="str">
        <f aca="false">IF(L380&gt;$B$6,"",INDEX(Example!$A$7:$A$506,MATCH(L380,Example!$AI$7:$AI$506,0)))</f>
        <v/>
      </c>
      <c r="O380" s="34" t="str">
        <f aca="false">IF(L380&gt;$B$6,"",INDEX(Example!$AC$7:$AC$506,MATCH(L380,Example!$AI$7:$AI$506,0)))</f>
        <v/>
      </c>
      <c r="P380" s="35" t="str">
        <f aca="false">IF(L380&gt;$B$6,"",INDEX(Example!$AD$7:$AD$506,MATCH(L380,Example!$AI$7:$AI$506,0)))</f>
        <v/>
      </c>
      <c r="Q380" s="34" t="n">
        <f aca="false">IF(L380&gt;$B$6,Q379,Q379+O380)</f>
        <v>22057.5</v>
      </c>
      <c r="R380" s="34" t="str">
        <f aca="false">IF(L380&gt;$B$6,"",Q380-MAX($Q$5:Q380))</f>
        <v/>
      </c>
    </row>
    <row r="381" customFormat="false" ht="15" hidden="false" customHeight="false" outlineLevel="0" collapsed="false">
      <c r="L381" s="0" t="n">
        <v>376</v>
      </c>
      <c r="M381" s="37" t="str">
        <f aca="false">IF(L381&gt;$B$6,"",INDEX(Example!$P$7:$P$506,MATCH(L381,Example!$AI$7:$AI$506,0)))</f>
        <v/>
      </c>
      <c r="N381" s="0" t="str">
        <f aca="false">IF(L381&gt;$B$6,"",INDEX(Example!$A$7:$A$506,MATCH(L381,Example!$AI$7:$AI$506,0)))</f>
        <v/>
      </c>
      <c r="O381" s="34" t="str">
        <f aca="false">IF(L381&gt;$B$6,"",INDEX(Example!$AC$7:$AC$506,MATCH(L381,Example!$AI$7:$AI$506,0)))</f>
        <v/>
      </c>
      <c r="P381" s="35" t="str">
        <f aca="false">IF(L381&gt;$B$6,"",INDEX(Example!$AD$7:$AD$506,MATCH(L381,Example!$AI$7:$AI$506,0)))</f>
        <v/>
      </c>
      <c r="Q381" s="34" t="n">
        <f aca="false">IF(L381&gt;$B$6,Q380,Q380+O381)</f>
        <v>22057.5</v>
      </c>
      <c r="R381" s="34" t="str">
        <f aca="false">IF(L381&gt;$B$6,"",Q381-MAX($Q$5:Q381))</f>
        <v/>
      </c>
    </row>
    <row r="382" customFormat="false" ht="15" hidden="false" customHeight="false" outlineLevel="0" collapsed="false">
      <c r="L382" s="0" t="n">
        <v>377</v>
      </c>
      <c r="M382" s="37" t="str">
        <f aca="false">IF(L382&gt;$B$6,"",INDEX(Example!$P$7:$P$506,MATCH(L382,Example!$AI$7:$AI$506,0)))</f>
        <v/>
      </c>
      <c r="N382" s="0" t="str">
        <f aca="false">IF(L382&gt;$B$6,"",INDEX(Example!$A$7:$A$506,MATCH(L382,Example!$AI$7:$AI$506,0)))</f>
        <v/>
      </c>
      <c r="O382" s="34" t="str">
        <f aca="false">IF(L382&gt;$B$6,"",INDEX(Example!$AC$7:$AC$506,MATCH(L382,Example!$AI$7:$AI$506,0)))</f>
        <v/>
      </c>
      <c r="P382" s="35" t="str">
        <f aca="false">IF(L382&gt;$B$6,"",INDEX(Example!$AD$7:$AD$506,MATCH(L382,Example!$AI$7:$AI$506,0)))</f>
        <v/>
      </c>
      <c r="Q382" s="34" t="n">
        <f aca="false">IF(L382&gt;$B$6,Q381,Q381+O382)</f>
        <v>22057.5</v>
      </c>
      <c r="R382" s="34" t="str">
        <f aca="false">IF(L382&gt;$B$6,"",Q382-MAX($Q$5:Q382))</f>
        <v/>
      </c>
    </row>
    <row r="383" customFormat="false" ht="15" hidden="false" customHeight="false" outlineLevel="0" collapsed="false">
      <c r="L383" s="0" t="n">
        <v>378</v>
      </c>
      <c r="M383" s="37" t="str">
        <f aca="false">IF(L383&gt;$B$6,"",INDEX(Example!$P$7:$P$506,MATCH(L383,Example!$AI$7:$AI$506,0)))</f>
        <v/>
      </c>
      <c r="N383" s="0" t="str">
        <f aca="false">IF(L383&gt;$B$6,"",INDEX(Example!$A$7:$A$506,MATCH(L383,Example!$AI$7:$AI$506,0)))</f>
        <v/>
      </c>
      <c r="O383" s="34" t="str">
        <f aca="false">IF(L383&gt;$B$6,"",INDEX(Example!$AC$7:$AC$506,MATCH(L383,Example!$AI$7:$AI$506,0)))</f>
        <v/>
      </c>
      <c r="P383" s="35" t="str">
        <f aca="false">IF(L383&gt;$B$6,"",INDEX(Example!$AD$7:$AD$506,MATCH(L383,Example!$AI$7:$AI$506,0)))</f>
        <v/>
      </c>
      <c r="Q383" s="34" t="n">
        <f aca="false">IF(L383&gt;$B$6,Q382,Q382+O383)</f>
        <v>22057.5</v>
      </c>
      <c r="R383" s="34" t="str">
        <f aca="false">IF(L383&gt;$B$6,"",Q383-MAX($Q$5:Q383))</f>
        <v/>
      </c>
    </row>
    <row r="384" customFormat="false" ht="15" hidden="false" customHeight="false" outlineLevel="0" collapsed="false">
      <c r="L384" s="0" t="n">
        <v>379</v>
      </c>
      <c r="M384" s="37" t="str">
        <f aca="false">IF(L384&gt;$B$6,"",INDEX(Example!$P$7:$P$506,MATCH(L384,Example!$AI$7:$AI$506,0)))</f>
        <v/>
      </c>
      <c r="N384" s="0" t="str">
        <f aca="false">IF(L384&gt;$B$6,"",INDEX(Example!$A$7:$A$506,MATCH(L384,Example!$AI$7:$AI$506,0)))</f>
        <v/>
      </c>
      <c r="O384" s="34" t="str">
        <f aca="false">IF(L384&gt;$B$6,"",INDEX(Example!$AC$7:$AC$506,MATCH(L384,Example!$AI$7:$AI$506,0)))</f>
        <v/>
      </c>
      <c r="P384" s="35" t="str">
        <f aca="false">IF(L384&gt;$B$6,"",INDEX(Example!$AD$7:$AD$506,MATCH(L384,Example!$AI$7:$AI$506,0)))</f>
        <v/>
      </c>
      <c r="Q384" s="34" t="n">
        <f aca="false">IF(L384&gt;$B$6,Q383,Q383+O384)</f>
        <v>22057.5</v>
      </c>
      <c r="R384" s="34" t="str">
        <f aca="false">IF(L384&gt;$B$6,"",Q384-MAX($Q$5:Q384))</f>
        <v/>
      </c>
    </row>
    <row r="385" customFormat="false" ht="15" hidden="false" customHeight="false" outlineLevel="0" collapsed="false">
      <c r="L385" s="0" t="n">
        <v>380</v>
      </c>
      <c r="M385" s="37" t="str">
        <f aca="false">IF(L385&gt;$B$6,"",INDEX(Example!$P$7:$P$506,MATCH(L385,Example!$AI$7:$AI$506,0)))</f>
        <v/>
      </c>
      <c r="N385" s="0" t="str">
        <f aca="false">IF(L385&gt;$B$6,"",INDEX(Example!$A$7:$A$506,MATCH(L385,Example!$AI$7:$AI$506,0)))</f>
        <v/>
      </c>
      <c r="O385" s="34" t="str">
        <f aca="false">IF(L385&gt;$B$6,"",INDEX(Example!$AC$7:$AC$506,MATCH(L385,Example!$AI$7:$AI$506,0)))</f>
        <v/>
      </c>
      <c r="P385" s="35" t="str">
        <f aca="false">IF(L385&gt;$B$6,"",INDEX(Example!$AD$7:$AD$506,MATCH(L385,Example!$AI$7:$AI$506,0)))</f>
        <v/>
      </c>
      <c r="Q385" s="34" t="n">
        <f aca="false">IF(L385&gt;$B$6,Q384,Q384+O385)</f>
        <v>22057.5</v>
      </c>
      <c r="R385" s="34" t="str">
        <f aca="false">IF(L385&gt;$B$6,"",Q385-MAX($Q$5:Q385))</f>
        <v/>
      </c>
    </row>
    <row r="386" customFormat="false" ht="15" hidden="false" customHeight="false" outlineLevel="0" collapsed="false">
      <c r="L386" s="0" t="n">
        <v>381</v>
      </c>
      <c r="M386" s="37" t="str">
        <f aca="false">IF(L386&gt;$B$6,"",INDEX(Example!$P$7:$P$506,MATCH(L386,Example!$AI$7:$AI$506,0)))</f>
        <v/>
      </c>
      <c r="N386" s="0" t="str">
        <f aca="false">IF(L386&gt;$B$6,"",INDEX(Example!$A$7:$A$506,MATCH(L386,Example!$AI$7:$AI$506,0)))</f>
        <v/>
      </c>
      <c r="O386" s="34" t="str">
        <f aca="false">IF(L386&gt;$B$6,"",INDEX(Example!$AC$7:$AC$506,MATCH(L386,Example!$AI$7:$AI$506,0)))</f>
        <v/>
      </c>
      <c r="P386" s="35" t="str">
        <f aca="false">IF(L386&gt;$B$6,"",INDEX(Example!$AD$7:$AD$506,MATCH(L386,Example!$AI$7:$AI$506,0)))</f>
        <v/>
      </c>
      <c r="Q386" s="34" t="n">
        <f aca="false">IF(L386&gt;$B$6,Q385,Q385+O386)</f>
        <v>22057.5</v>
      </c>
      <c r="R386" s="34" t="str">
        <f aca="false">IF(L386&gt;$B$6,"",Q386-MAX($Q$5:Q386))</f>
        <v/>
      </c>
    </row>
    <row r="387" customFormat="false" ht="15" hidden="false" customHeight="false" outlineLevel="0" collapsed="false">
      <c r="L387" s="0" t="n">
        <v>382</v>
      </c>
      <c r="M387" s="37" t="str">
        <f aca="false">IF(L387&gt;$B$6,"",INDEX(Example!$P$7:$P$506,MATCH(L387,Example!$AI$7:$AI$506,0)))</f>
        <v/>
      </c>
      <c r="N387" s="0" t="str">
        <f aca="false">IF(L387&gt;$B$6,"",INDEX(Example!$A$7:$A$506,MATCH(L387,Example!$AI$7:$AI$506,0)))</f>
        <v/>
      </c>
      <c r="O387" s="34" t="str">
        <f aca="false">IF(L387&gt;$B$6,"",INDEX(Example!$AC$7:$AC$506,MATCH(L387,Example!$AI$7:$AI$506,0)))</f>
        <v/>
      </c>
      <c r="P387" s="35" t="str">
        <f aca="false">IF(L387&gt;$B$6,"",INDEX(Example!$AD$7:$AD$506,MATCH(L387,Example!$AI$7:$AI$506,0)))</f>
        <v/>
      </c>
      <c r="Q387" s="34" t="n">
        <f aca="false">IF(L387&gt;$B$6,Q386,Q386+O387)</f>
        <v>22057.5</v>
      </c>
      <c r="R387" s="34" t="str">
        <f aca="false">IF(L387&gt;$B$6,"",Q387-MAX($Q$5:Q387))</f>
        <v/>
      </c>
    </row>
    <row r="388" customFormat="false" ht="15" hidden="false" customHeight="false" outlineLevel="0" collapsed="false">
      <c r="L388" s="0" t="n">
        <v>383</v>
      </c>
      <c r="M388" s="37" t="str">
        <f aca="false">IF(L388&gt;$B$6,"",INDEX(Example!$P$7:$P$506,MATCH(L388,Example!$AI$7:$AI$506,0)))</f>
        <v/>
      </c>
      <c r="N388" s="0" t="str">
        <f aca="false">IF(L388&gt;$B$6,"",INDEX(Example!$A$7:$A$506,MATCH(L388,Example!$AI$7:$AI$506,0)))</f>
        <v/>
      </c>
      <c r="O388" s="34" t="str">
        <f aca="false">IF(L388&gt;$B$6,"",INDEX(Example!$AC$7:$AC$506,MATCH(L388,Example!$AI$7:$AI$506,0)))</f>
        <v/>
      </c>
      <c r="P388" s="35" t="str">
        <f aca="false">IF(L388&gt;$B$6,"",INDEX(Example!$AD$7:$AD$506,MATCH(L388,Example!$AI$7:$AI$506,0)))</f>
        <v/>
      </c>
      <c r="Q388" s="34" t="n">
        <f aca="false">IF(L388&gt;$B$6,Q387,Q387+O388)</f>
        <v>22057.5</v>
      </c>
      <c r="R388" s="34" t="str">
        <f aca="false">IF(L388&gt;$B$6,"",Q388-MAX($Q$5:Q388))</f>
        <v/>
      </c>
    </row>
    <row r="389" customFormat="false" ht="15" hidden="false" customHeight="false" outlineLevel="0" collapsed="false">
      <c r="L389" s="0" t="n">
        <v>384</v>
      </c>
      <c r="M389" s="37" t="str">
        <f aca="false">IF(L389&gt;$B$6,"",INDEX(Example!$P$7:$P$506,MATCH(L389,Example!$AI$7:$AI$506,0)))</f>
        <v/>
      </c>
      <c r="N389" s="0" t="str">
        <f aca="false">IF(L389&gt;$B$6,"",INDEX(Example!$A$7:$A$506,MATCH(L389,Example!$AI$7:$AI$506,0)))</f>
        <v/>
      </c>
      <c r="O389" s="34" t="str">
        <f aca="false">IF(L389&gt;$B$6,"",INDEX(Example!$AC$7:$AC$506,MATCH(L389,Example!$AI$7:$AI$506,0)))</f>
        <v/>
      </c>
      <c r="P389" s="35" t="str">
        <f aca="false">IF(L389&gt;$B$6,"",INDEX(Example!$AD$7:$AD$506,MATCH(L389,Example!$AI$7:$AI$506,0)))</f>
        <v/>
      </c>
      <c r="Q389" s="34" t="n">
        <f aca="false">IF(L389&gt;$B$6,Q388,Q388+O389)</f>
        <v>22057.5</v>
      </c>
      <c r="R389" s="34" t="str">
        <f aca="false">IF(L389&gt;$B$6,"",Q389-MAX($Q$5:Q389))</f>
        <v/>
      </c>
    </row>
    <row r="390" customFormat="false" ht="15" hidden="false" customHeight="false" outlineLevel="0" collapsed="false">
      <c r="L390" s="0" t="n">
        <v>385</v>
      </c>
      <c r="M390" s="37" t="str">
        <f aca="false">IF(L390&gt;$B$6,"",INDEX(Example!$P$7:$P$506,MATCH(L390,Example!$AI$7:$AI$506,0)))</f>
        <v/>
      </c>
      <c r="N390" s="0" t="str">
        <f aca="false">IF(L390&gt;$B$6,"",INDEX(Example!$A$7:$A$506,MATCH(L390,Example!$AI$7:$AI$506,0)))</f>
        <v/>
      </c>
      <c r="O390" s="34" t="str">
        <f aca="false">IF(L390&gt;$B$6,"",INDEX(Example!$AC$7:$AC$506,MATCH(L390,Example!$AI$7:$AI$506,0)))</f>
        <v/>
      </c>
      <c r="P390" s="35" t="str">
        <f aca="false">IF(L390&gt;$B$6,"",INDEX(Example!$AD$7:$AD$506,MATCH(L390,Example!$AI$7:$AI$506,0)))</f>
        <v/>
      </c>
      <c r="Q390" s="34" t="n">
        <f aca="false">IF(L390&gt;$B$6,Q389,Q389+O390)</f>
        <v>22057.5</v>
      </c>
      <c r="R390" s="34" t="str">
        <f aca="false">IF(L390&gt;$B$6,"",Q390-MAX($Q$5:Q390))</f>
        <v/>
      </c>
    </row>
    <row r="391" customFormat="false" ht="15" hidden="false" customHeight="false" outlineLevel="0" collapsed="false">
      <c r="L391" s="0" t="n">
        <v>386</v>
      </c>
      <c r="M391" s="37" t="str">
        <f aca="false">IF(L391&gt;$B$6,"",INDEX(Example!$P$7:$P$506,MATCH(L391,Example!$AI$7:$AI$506,0)))</f>
        <v/>
      </c>
      <c r="N391" s="0" t="str">
        <f aca="false">IF(L391&gt;$B$6,"",INDEX(Example!$A$7:$A$506,MATCH(L391,Example!$AI$7:$AI$506,0)))</f>
        <v/>
      </c>
      <c r="O391" s="34" t="str">
        <f aca="false">IF(L391&gt;$B$6,"",INDEX(Example!$AC$7:$AC$506,MATCH(L391,Example!$AI$7:$AI$506,0)))</f>
        <v/>
      </c>
      <c r="P391" s="35" t="str">
        <f aca="false">IF(L391&gt;$B$6,"",INDEX(Example!$AD$7:$AD$506,MATCH(L391,Example!$AI$7:$AI$506,0)))</f>
        <v/>
      </c>
      <c r="Q391" s="34" t="n">
        <f aca="false">IF(L391&gt;$B$6,Q390,Q390+O391)</f>
        <v>22057.5</v>
      </c>
      <c r="R391" s="34" t="str">
        <f aca="false">IF(L391&gt;$B$6,"",Q391-MAX($Q$5:Q391))</f>
        <v/>
      </c>
    </row>
    <row r="392" customFormat="false" ht="15" hidden="false" customHeight="false" outlineLevel="0" collapsed="false">
      <c r="L392" s="0" t="n">
        <v>387</v>
      </c>
      <c r="M392" s="37" t="str">
        <f aca="false">IF(L392&gt;$B$6,"",INDEX(Example!$P$7:$P$506,MATCH(L392,Example!$AI$7:$AI$506,0)))</f>
        <v/>
      </c>
      <c r="N392" s="0" t="str">
        <f aca="false">IF(L392&gt;$B$6,"",INDEX(Example!$A$7:$A$506,MATCH(L392,Example!$AI$7:$AI$506,0)))</f>
        <v/>
      </c>
      <c r="O392" s="34" t="str">
        <f aca="false">IF(L392&gt;$B$6,"",INDEX(Example!$AC$7:$AC$506,MATCH(L392,Example!$AI$7:$AI$506,0)))</f>
        <v/>
      </c>
      <c r="P392" s="35" t="str">
        <f aca="false">IF(L392&gt;$B$6,"",INDEX(Example!$AD$7:$AD$506,MATCH(L392,Example!$AI$7:$AI$506,0)))</f>
        <v/>
      </c>
      <c r="Q392" s="34" t="n">
        <f aca="false">IF(L392&gt;$B$6,Q391,Q391+O392)</f>
        <v>22057.5</v>
      </c>
      <c r="R392" s="34" t="str">
        <f aca="false">IF(L392&gt;$B$6,"",Q392-MAX($Q$5:Q392))</f>
        <v/>
      </c>
    </row>
    <row r="393" customFormat="false" ht="15" hidden="false" customHeight="false" outlineLevel="0" collapsed="false">
      <c r="L393" s="0" t="n">
        <v>388</v>
      </c>
      <c r="M393" s="37" t="str">
        <f aca="false">IF(L393&gt;$B$6,"",INDEX(Example!$P$7:$P$506,MATCH(L393,Example!$AI$7:$AI$506,0)))</f>
        <v/>
      </c>
      <c r="N393" s="0" t="str">
        <f aca="false">IF(L393&gt;$B$6,"",INDEX(Example!$A$7:$A$506,MATCH(L393,Example!$AI$7:$AI$506,0)))</f>
        <v/>
      </c>
      <c r="O393" s="34" t="str">
        <f aca="false">IF(L393&gt;$B$6,"",INDEX(Example!$AC$7:$AC$506,MATCH(L393,Example!$AI$7:$AI$506,0)))</f>
        <v/>
      </c>
      <c r="P393" s="35" t="str">
        <f aca="false">IF(L393&gt;$B$6,"",INDEX(Example!$AD$7:$AD$506,MATCH(L393,Example!$AI$7:$AI$506,0)))</f>
        <v/>
      </c>
      <c r="Q393" s="34" t="n">
        <f aca="false">IF(L393&gt;$B$6,Q392,Q392+O393)</f>
        <v>22057.5</v>
      </c>
      <c r="R393" s="34" t="str">
        <f aca="false">IF(L393&gt;$B$6,"",Q393-MAX($Q$5:Q393))</f>
        <v/>
      </c>
    </row>
    <row r="394" customFormat="false" ht="15" hidden="false" customHeight="false" outlineLevel="0" collapsed="false">
      <c r="L394" s="0" t="n">
        <v>389</v>
      </c>
      <c r="M394" s="37" t="str">
        <f aca="false">IF(L394&gt;$B$6,"",INDEX(Example!$P$7:$P$506,MATCH(L394,Example!$AI$7:$AI$506,0)))</f>
        <v/>
      </c>
      <c r="N394" s="0" t="str">
        <f aca="false">IF(L394&gt;$B$6,"",INDEX(Example!$A$7:$A$506,MATCH(L394,Example!$AI$7:$AI$506,0)))</f>
        <v/>
      </c>
      <c r="O394" s="34" t="str">
        <f aca="false">IF(L394&gt;$B$6,"",INDEX(Example!$AC$7:$AC$506,MATCH(L394,Example!$AI$7:$AI$506,0)))</f>
        <v/>
      </c>
      <c r="P394" s="35" t="str">
        <f aca="false">IF(L394&gt;$B$6,"",INDEX(Example!$AD$7:$AD$506,MATCH(L394,Example!$AI$7:$AI$506,0)))</f>
        <v/>
      </c>
      <c r="Q394" s="34" t="n">
        <f aca="false">IF(L394&gt;$B$6,Q393,Q393+O394)</f>
        <v>22057.5</v>
      </c>
      <c r="R394" s="34" t="str">
        <f aca="false">IF(L394&gt;$B$6,"",Q394-MAX($Q$5:Q394))</f>
        <v/>
      </c>
    </row>
    <row r="395" customFormat="false" ht="15" hidden="false" customHeight="false" outlineLevel="0" collapsed="false">
      <c r="L395" s="0" t="n">
        <v>390</v>
      </c>
      <c r="M395" s="37" t="str">
        <f aca="false">IF(L395&gt;$B$6,"",INDEX(Example!$P$7:$P$506,MATCH(L395,Example!$AI$7:$AI$506,0)))</f>
        <v/>
      </c>
      <c r="N395" s="0" t="str">
        <f aca="false">IF(L395&gt;$B$6,"",INDEX(Example!$A$7:$A$506,MATCH(L395,Example!$AI$7:$AI$506,0)))</f>
        <v/>
      </c>
      <c r="O395" s="34" t="str">
        <f aca="false">IF(L395&gt;$B$6,"",INDEX(Example!$AC$7:$AC$506,MATCH(L395,Example!$AI$7:$AI$506,0)))</f>
        <v/>
      </c>
      <c r="P395" s="35" t="str">
        <f aca="false">IF(L395&gt;$B$6,"",INDEX(Example!$AD$7:$AD$506,MATCH(L395,Example!$AI$7:$AI$506,0)))</f>
        <v/>
      </c>
      <c r="Q395" s="34" t="n">
        <f aca="false">IF(L395&gt;$B$6,Q394,Q394+O395)</f>
        <v>22057.5</v>
      </c>
      <c r="R395" s="34" t="str">
        <f aca="false">IF(L395&gt;$B$6,"",Q395-MAX($Q$5:Q395))</f>
        <v/>
      </c>
    </row>
    <row r="396" customFormat="false" ht="15" hidden="false" customHeight="false" outlineLevel="0" collapsed="false">
      <c r="L396" s="0" t="n">
        <v>391</v>
      </c>
      <c r="M396" s="37" t="str">
        <f aca="false">IF(L396&gt;$B$6,"",INDEX(Example!$P$7:$P$506,MATCH(L396,Example!$AI$7:$AI$506,0)))</f>
        <v/>
      </c>
      <c r="N396" s="0" t="str">
        <f aca="false">IF(L396&gt;$B$6,"",INDEX(Example!$A$7:$A$506,MATCH(L396,Example!$AI$7:$AI$506,0)))</f>
        <v/>
      </c>
      <c r="O396" s="34" t="str">
        <f aca="false">IF(L396&gt;$B$6,"",INDEX(Example!$AC$7:$AC$506,MATCH(L396,Example!$AI$7:$AI$506,0)))</f>
        <v/>
      </c>
      <c r="P396" s="35" t="str">
        <f aca="false">IF(L396&gt;$B$6,"",INDEX(Example!$AD$7:$AD$506,MATCH(L396,Example!$AI$7:$AI$506,0)))</f>
        <v/>
      </c>
      <c r="Q396" s="34" t="n">
        <f aca="false">IF(L396&gt;$B$6,Q395,Q395+O396)</f>
        <v>22057.5</v>
      </c>
      <c r="R396" s="34" t="str">
        <f aca="false">IF(L396&gt;$B$6,"",Q396-MAX($Q$5:Q396))</f>
        <v/>
      </c>
    </row>
    <row r="397" customFormat="false" ht="15" hidden="false" customHeight="false" outlineLevel="0" collapsed="false">
      <c r="L397" s="0" t="n">
        <v>392</v>
      </c>
      <c r="M397" s="37" t="str">
        <f aca="false">IF(L397&gt;$B$6,"",INDEX(Example!$P$7:$P$506,MATCH(L397,Example!$AI$7:$AI$506,0)))</f>
        <v/>
      </c>
      <c r="N397" s="0" t="str">
        <f aca="false">IF(L397&gt;$B$6,"",INDEX(Example!$A$7:$A$506,MATCH(L397,Example!$AI$7:$AI$506,0)))</f>
        <v/>
      </c>
      <c r="O397" s="34" t="str">
        <f aca="false">IF(L397&gt;$B$6,"",INDEX(Example!$AC$7:$AC$506,MATCH(L397,Example!$AI$7:$AI$506,0)))</f>
        <v/>
      </c>
      <c r="P397" s="35" t="str">
        <f aca="false">IF(L397&gt;$B$6,"",INDEX(Example!$AD$7:$AD$506,MATCH(L397,Example!$AI$7:$AI$506,0)))</f>
        <v/>
      </c>
      <c r="Q397" s="34" t="n">
        <f aca="false">IF(L397&gt;$B$6,Q396,Q396+O397)</f>
        <v>22057.5</v>
      </c>
      <c r="R397" s="34" t="str">
        <f aca="false">IF(L397&gt;$B$6,"",Q397-MAX($Q$5:Q397))</f>
        <v/>
      </c>
    </row>
    <row r="398" customFormat="false" ht="15" hidden="false" customHeight="false" outlineLevel="0" collapsed="false">
      <c r="L398" s="0" t="n">
        <v>393</v>
      </c>
      <c r="M398" s="37" t="str">
        <f aca="false">IF(L398&gt;$B$6,"",INDEX(Example!$P$7:$P$506,MATCH(L398,Example!$AI$7:$AI$506,0)))</f>
        <v/>
      </c>
      <c r="N398" s="0" t="str">
        <f aca="false">IF(L398&gt;$B$6,"",INDEX(Example!$A$7:$A$506,MATCH(L398,Example!$AI$7:$AI$506,0)))</f>
        <v/>
      </c>
      <c r="O398" s="34" t="str">
        <f aca="false">IF(L398&gt;$B$6,"",INDEX(Example!$AC$7:$AC$506,MATCH(L398,Example!$AI$7:$AI$506,0)))</f>
        <v/>
      </c>
      <c r="P398" s="35" t="str">
        <f aca="false">IF(L398&gt;$B$6,"",INDEX(Example!$AD$7:$AD$506,MATCH(L398,Example!$AI$7:$AI$506,0)))</f>
        <v/>
      </c>
      <c r="Q398" s="34" t="n">
        <f aca="false">IF(L398&gt;$B$6,Q397,Q397+O398)</f>
        <v>22057.5</v>
      </c>
      <c r="R398" s="34" t="str">
        <f aca="false">IF(L398&gt;$B$6,"",Q398-MAX($Q$5:Q398))</f>
        <v/>
      </c>
    </row>
    <row r="399" customFormat="false" ht="15" hidden="false" customHeight="false" outlineLevel="0" collapsed="false">
      <c r="L399" s="0" t="n">
        <v>394</v>
      </c>
      <c r="M399" s="37" t="str">
        <f aca="false">IF(L399&gt;$B$6,"",INDEX(Example!$P$7:$P$506,MATCH(L399,Example!$AI$7:$AI$506,0)))</f>
        <v/>
      </c>
      <c r="N399" s="0" t="str">
        <f aca="false">IF(L399&gt;$B$6,"",INDEX(Example!$A$7:$A$506,MATCH(L399,Example!$AI$7:$AI$506,0)))</f>
        <v/>
      </c>
      <c r="O399" s="34" t="str">
        <f aca="false">IF(L399&gt;$B$6,"",INDEX(Example!$AC$7:$AC$506,MATCH(L399,Example!$AI$7:$AI$506,0)))</f>
        <v/>
      </c>
      <c r="P399" s="35" t="str">
        <f aca="false">IF(L399&gt;$B$6,"",INDEX(Example!$AD$7:$AD$506,MATCH(L399,Example!$AI$7:$AI$506,0)))</f>
        <v/>
      </c>
      <c r="Q399" s="34" t="n">
        <f aca="false">IF(L399&gt;$B$6,Q398,Q398+O399)</f>
        <v>22057.5</v>
      </c>
      <c r="R399" s="34" t="str">
        <f aca="false">IF(L399&gt;$B$6,"",Q399-MAX($Q$5:Q399))</f>
        <v/>
      </c>
    </row>
    <row r="400" customFormat="false" ht="15" hidden="false" customHeight="false" outlineLevel="0" collapsed="false">
      <c r="L400" s="0" t="n">
        <v>395</v>
      </c>
      <c r="M400" s="37" t="str">
        <f aca="false">IF(L400&gt;$B$6,"",INDEX(Example!$P$7:$P$506,MATCH(L400,Example!$AI$7:$AI$506,0)))</f>
        <v/>
      </c>
      <c r="N400" s="0" t="str">
        <f aca="false">IF(L400&gt;$B$6,"",INDEX(Example!$A$7:$A$506,MATCH(L400,Example!$AI$7:$AI$506,0)))</f>
        <v/>
      </c>
      <c r="O400" s="34" t="str">
        <f aca="false">IF(L400&gt;$B$6,"",INDEX(Example!$AC$7:$AC$506,MATCH(L400,Example!$AI$7:$AI$506,0)))</f>
        <v/>
      </c>
      <c r="P400" s="35" t="str">
        <f aca="false">IF(L400&gt;$B$6,"",INDEX(Example!$AD$7:$AD$506,MATCH(L400,Example!$AI$7:$AI$506,0)))</f>
        <v/>
      </c>
      <c r="Q400" s="34" t="n">
        <f aca="false">IF(L400&gt;$B$6,Q399,Q399+O400)</f>
        <v>22057.5</v>
      </c>
      <c r="R400" s="34" t="str">
        <f aca="false">IF(L400&gt;$B$6,"",Q400-MAX($Q$5:Q400))</f>
        <v/>
      </c>
    </row>
    <row r="401" customFormat="false" ht="15" hidden="false" customHeight="false" outlineLevel="0" collapsed="false">
      <c r="L401" s="0" t="n">
        <v>396</v>
      </c>
      <c r="M401" s="37" t="str">
        <f aca="false">IF(L401&gt;$B$6,"",INDEX(Example!$P$7:$P$506,MATCH(L401,Example!$AI$7:$AI$506,0)))</f>
        <v/>
      </c>
      <c r="N401" s="0" t="str">
        <f aca="false">IF(L401&gt;$B$6,"",INDEX(Example!$A$7:$A$506,MATCH(L401,Example!$AI$7:$AI$506,0)))</f>
        <v/>
      </c>
      <c r="O401" s="34" t="str">
        <f aca="false">IF(L401&gt;$B$6,"",INDEX(Example!$AC$7:$AC$506,MATCH(L401,Example!$AI$7:$AI$506,0)))</f>
        <v/>
      </c>
      <c r="P401" s="35" t="str">
        <f aca="false">IF(L401&gt;$B$6,"",INDEX(Example!$AD$7:$AD$506,MATCH(L401,Example!$AI$7:$AI$506,0)))</f>
        <v/>
      </c>
      <c r="Q401" s="34" t="n">
        <f aca="false">IF(L401&gt;$B$6,Q400,Q400+O401)</f>
        <v>22057.5</v>
      </c>
      <c r="R401" s="34" t="str">
        <f aca="false">IF(L401&gt;$B$6,"",Q401-MAX($Q$5:Q401))</f>
        <v/>
      </c>
    </row>
    <row r="402" customFormat="false" ht="15" hidden="false" customHeight="false" outlineLevel="0" collapsed="false">
      <c r="L402" s="0" t="n">
        <v>397</v>
      </c>
      <c r="M402" s="37" t="str">
        <f aca="false">IF(L402&gt;$B$6,"",INDEX(Example!$P$7:$P$506,MATCH(L402,Example!$AI$7:$AI$506,0)))</f>
        <v/>
      </c>
      <c r="N402" s="0" t="str">
        <f aca="false">IF(L402&gt;$B$6,"",INDEX(Example!$A$7:$A$506,MATCH(L402,Example!$AI$7:$AI$506,0)))</f>
        <v/>
      </c>
      <c r="O402" s="34" t="str">
        <f aca="false">IF(L402&gt;$B$6,"",INDEX(Example!$AC$7:$AC$506,MATCH(L402,Example!$AI$7:$AI$506,0)))</f>
        <v/>
      </c>
      <c r="P402" s="35" t="str">
        <f aca="false">IF(L402&gt;$B$6,"",INDEX(Example!$AD$7:$AD$506,MATCH(L402,Example!$AI$7:$AI$506,0)))</f>
        <v/>
      </c>
      <c r="Q402" s="34" t="n">
        <f aca="false">IF(L402&gt;$B$6,Q401,Q401+O402)</f>
        <v>22057.5</v>
      </c>
      <c r="R402" s="34" t="str">
        <f aca="false">IF(L402&gt;$B$6,"",Q402-MAX($Q$5:Q402))</f>
        <v/>
      </c>
    </row>
    <row r="403" customFormat="false" ht="15" hidden="false" customHeight="false" outlineLevel="0" collapsed="false">
      <c r="L403" s="0" t="n">
        <v>398</v>
      </c>
      <c r="M403" s="37" t="str">
        <f aca="false">IF(L403&gt;$B$6,"",INDEX(Example!$P$7:$P$506,MATCH(L403,Example!$AI$7:$AI$506,0)))</f>
        <v/>
      </c>
      <c r="N403" s="0" t="str">
        <f aca="false">IF(L403&gt;$B$6,"",INDEX(Example!$A$7:$A$506,MATCH(L403,Example!$AI$7:$AI$506,0)))</f>
        <v/>
      </c>
      <c r="O403" s="34" t="str">
        <f aca="false">IF(L403&gt;$B$6,"",INDEX(Example!$AC$7:$AC$506,MATCH(L403,Example!$AI$7:$AI$506,0)))</f>
        <v/>
      </c>
      <c r="P403" s="35" t="str">
        <f aca="false">IF(L403&gt;$B$6,"",INDEX(Example!$AD$7:$AD$506,MATCH(L403,Example!$AI$7:$AI$506,0)))</f>
        <v/>
      </c>
      <c r="Q403" s="34" t="n">
        <f aca="false">IF(L403&gt;$B$6,Q402,Q402+O403)</f>
        <v>22057.5</v>
      </c>
      <c r="R403" s="34" t="str">
        <f aca="false">IF(L403&gt;$B$6,"",Q403-MAX($Q$5:Q403))</f>
        <v/>
      </c>
    </row>
    <row r="404" customFormat="false" ht="15" hidden="false" customHeight="false" outlineLevel="0" collapsed="false">
      <c r="L404" s="0" t="n">
        <v>399</v>
      </c>
      <c r="M404" s="37" t="str">
        <f aca="false">IF(L404&gt;$B$6,"",INDEX(Example!$P$7:$P$506,MATCH(L404,Example!$AI$7:$AI$506,0)))</f>
        <v/>
      </c>
      <c r="N404" s="0" t="str">
        <f aca="false">IF(L404&gt;$B$6,"",INDEX(Example!$A$7:$A$506,MATCH(L404,Example!$AI$7:$AI$506,0)))</f>
        <v/>
      </c>
      <c r="O404" s="34" t="str">
        <f aca="false">IF(L404&gt;$B$6,"",INDEX(Example!$AC$7:$AC$506,MATCH(L404,Example!$AI$7:$AI$506,0)))</f>
        <v/>
      </c>
      <c r="P404" s="35" t="str">
        <f aca="false">IF(L404&gt;$B$6,"",INDEX(Example!$AD$7:$AD$506,MATCH(L404,Example!$AI$7:$AI$506,0)))</f>
        <v/>
      </c>
      <c r="Q404" s="34" t="n">
        <f aca="false">IF(L404&gt;$B$6,Q403,Q403+O404)</f>
        <v>22057.5</v>
      </c>
      <c r="R404" s="34" t="str">
        <f aca="false">IF(L404&gt;$B$6,"",Q404-MAX($Q$5:Q404))</f>
        <v/>
      </c>
    </row>
    <row r="405" customFormat="false" ht="15" hidden="false" customHeight="false" outlineLevel="0" collapsed="false">
      <c r="L405" s="0" t="n">
        <v>400</v>
      </c>
      <c r="M405" s="37" t="str">
        <f aca="false">IF(L405&gt;$B$6,"",INDEX(Example!$P$7:$P$506,MATCH(L405,Example!$AI$7:$AI$506,0)))</f>
        <v/>
      </c>
      <c r="N405" s="0" t="str">
        <f aca="false">IF(L405&gt;$B$6,"",INDEX(Example!$A$7:$A$506,MATCH(L405,Example!$AI$7:$AI$506,0)))</f>
        <v/>
      </c>
      <c r="O405" s="34" t="str">
        <f aca="false">IF(L405&gt;$B$6,"",INDEX(Example!$AC$7:$AC$506,MATCH(L405,Example!$AI$7:$AI$506,0)))</f>
        <v/>
      </c>
      <c r="P405" s="35" t="str">
        <f aca="false">IF(L405&gt;$B$6,"",INDEX(Example!$AD$7:$AD$506,MATCH(L405,Example!$AI$7:$AI$506,0)))</f>
        <v/>
      </c>
      <c r="Q405" s="34" t="n">
        <f aca="false">IF(L405&gt;$B$6,Q404,Q404+O405)</f>
        <v>22057.5</v>
      </c>
      <c r="R405" s="34" t="str">
        <f aca="false">IF(L405&gt;$B$6,"",Q405-MAX($Q$5:Q405))</f>
        <v/>
      </c>
    </row>
    <row r="406" customFormat="false" ht="15" hidden="false" customHeight="false" outlineLevel="0" collapsed="false">
      <c r="L406" s="0" t="n">
        <v>401</v>
      </c>
      <c r="M406" s="37" t="str">
        <f aca="false">IF(L406&gt;$B$6,"",INDEX(Example!$P$7:$P$506,MATCH(L406,Example!$AI$7:$AI$506,0)))</f>
        <v/>
      </c>
      <c r="N406" s="0" t="str">
        <f aca="false">IF(L406&gt;$B$6,"",INDEX(Example!$A$7:$A$506,MATCH(L406,Example!$AI$7:$AI$506,0)))</f>
        <v/>
      </c>
      <c r="O406" s="34" t="str">
        <f aca="false">IF(L406&gt;$B$6,"",INDEX(Example!$AC$7:$AC$506,MATCH(L406,Example!$AI$7:$AI$506,0)))</f>
        <v/>
      </c>
      <c r="P406" s="35" t="str">
        <f aca="false">IF(L406&gt;$B$6,"",INDEX(Example!$AD$7:$AD$506,MATCH(L406,Example!$AI$7:$AI$506,0)))</f>
        <v/>
      </c>
      <c r="Q406" s="34" t="n">
        <f aca="false">IF(L406&gt;$B$6,Q405,Q405+O406)</f>
        <v>22057.5</v>
      </c>
      <c r="R406" s="34" t="str">
        <f aca="false">IF(L406&gt;$B$6,"",Q406-MAX($Q$5:Q406))</f>
        <v/>
      </c>
    </row>
    <row r="407" customFormat="false" ht="15" hidden="false" customHeight="false" outlineLevel="0" collapsed="false">
      <c r="L407" s="0" t="n">
        <v>402</v>
      </c>
      <c r="M407" s="37" t="str">
        <f aca="false">IF(L407&gt;$B$6,"",INDEX(Example!$P$7:$P$506,MATCH(L407,Example!$AI$7:$AI$506,0)))</f>
        <v/>
      </c>
      <c r="N407" s="0" t="str">
        <f aca="false">IF(L407&gt;$B$6,"",INDEX(Example!$A$7:$A$506,MATCH(L407,Example!$AI$7:$AI$506,0)))</f>
        <v/>
      </c>
      <c r="O407" s="34" t="str">
        <f aca="false">IF(L407&gt;$B$6,"",INDEX(Example!$AC$7:$AC$506,MATCH(L407,Example!$AI$7:$AI$506,0)))</f>
        <v/>
      </c>
      <c r="P407" s="35" t="str">
        <f aca="false">IF(L407&gt;$B$6,"",INDEX(Example!$AD$7:$AD$506,MATCH(L407,Example!$AI$7:$AI$506,0)))</f>
        <v/>
      </c>
      <c r="Q407" s="34" t="n">
        <f aca="false">IF(L407&gt;$B$6,Q406,Q406+O407)</f>
        <v>22057.5</v>
      </c>
      <c r="R407" s="34" t="str">
        <f aca="false">IF(L407&gt;$B$6,"",Q407-MAX($Q$5:Q407))</f>
        <v/>
      </c>
    </row>
    <row r="408" customFormat="false" ht="15" hidden="false" customHeight="false" outlineLevel="0" collapsed="false">
      <c r="L408" s="0" t="n">
        <v>403</v>
      </c>
      <c r="M408" s="37" t="str">
        <f aca="false">IF(L408&gt;$B$6,"",INDEX(Example!$P$7:$P$506,MATCH(L408,Example!$AI$7:$AI$506,0)))</f>
        <v/>
      </c>
      <c r="N408" s="0" t="str">
        <f aca="false">IF(L408&gt;$B$6,"",INDEX(Example!$A$7:$A$506,MATCH(L408,Example!$AI$7:$AI$506,0)))</f>
        <v/>
      </c>
      <c r="O408" s="34" t="str">
        <f aca="false">IF(L408&gt;$B$6,"",INDEX(Example!$AC$7:$AC$506,MATCH(L408,Example!$AI$7:$AI$506,0)))</f>
        <v/>
      </c>
      <c r="P408" s="35" t="str">
        <f aca="false">IF(L408&gt;$B$6,"",INDEX(Example!$AD$7:$AD$506,MATCH(L408,Example!$AI$7:$AI$506,0)))</f>
        <v/>
      </c>
      <c r="Q408" s="34" t="n">
        <f aca="false">IF(L408&gt;$B$6,Q407,Q407+O408)</f>
        <v>22057.5</v>
      </c>
      <c r="R408" s="34" t="str">
        <f aca="false">IF(L408&gt;$B$6,"",Q408-MAX($Q$5:Q408))</f>
        <v/>
      </c>
    </row>
    <row r="409" customFormat="false" ht="15" hidden="false" customHeight="false" outlineLevel="0" collapsed="false">
      <c r="L409" s="0" t="n">
        <v>404</v>
      </c>
      <c r="M409" s="37" t="str">
        <f aca="false">IF(L409&gt;$B$6,"",INDEX(Example!$P$7:$P$506,MATCH(L409,Example!$AI$7:$AI$506,0)))</f>
        <v/>
      </c>
      <c r="N409" s="0" t="str">
        <f aca="false">IF(L409&gt;$B$6,"",INDEX(Example!$A$7:$A$506,MATCH(L409,Example!$AI$7:$AI$506,0)))</f>
        <v/>
      </c>
      <c r="O409" s="34" t="str">
        <f aca="false">IF(L409&gt;$B$6,"",INDEX(Example!$AC$7:$AC$506,MATCH(L409,Example!$AI$7:$AI$506,0)))</f>
        <v/>
      </c>
      <c r="P409" s="35" t="str">
        <f aca="false">IF(L409&gt;$B$6,"",INDEX(Example!$AD$7:$AD$506,MATCH(L409,Example!$AI$7:$AI$506,0)))</f>
        <v/>
      </c>
      <c r="Q409" s="34" t="n">
        <f aca="false">IF(L409&gt;$B$6,Q408,Q408+O409)</f>
        <v>22057.5</v>
      </c>
      <c r="R409" s="34" t="str">
        <f aca="false">IF(L409&gt;$B$6,"",Q409-MAX($Q$5:Q409))</f>
        <v/>
      </c>
    </row>
    <row r="410" customFormat="false" ht="15" hidden="false" customHeight="false" outlineLevel="0" collapsed="false">
      <c r="L410" s="0" t="n">
        <v>405</v>
      </c>
      <c r="M410" s="37" t="str">
        <f aca="false">IF(L410&gt;$B$6,"",INDEX(Example!$P$7:$P$506,MATCH(L410,Example!$AI$7:$AI$506,0)))</f>
        <v/>
      </c>
      <c r="N410" s="0" t="str">
        <f aca="false">IF(L410&gt;$B$6,"",INDEX(Example!$A$7:$A$506,MATCH(L410,Example!$AI$7:$AI$506,0)))</f>
        <v/>
      </c>
      <c r="O410" s="34" t="str">
        <f aca="false">IF(L410&gt;$B$6,"",INDEX(Example!$AC$7:$AC$506,MATCH(L410,Example!$AI$7:$AI$506,0)))</f>
        <v/>
      </c>
      <c r="P410" s="35" t="str">
        <f aca="false">IF(L410&gt;$B$6,"",INDEX(Example!$AD$7:$AD$506,MATCH(L410,Example!$AI$7:$AI$506,0)))</f>
        <v/>
      </c>
      <c r="Q410" s="34" t="n">
        <f aca="false">IF(L410&gt;$B$6,Q409,Q409+O410)</f>
        <v>22057.5</v>
      </c>
      <c r="R410" s="34" t="str">
        <f aca="false">IF(L410&gt;$B$6,"",Q410-MAX($Q$5:Q410))</f>
        <v/>
      </c>
    </row>
    <row r="411" customFormat="false" ht="15" hidden="false" customHeight="false" outlineLevel="0" collapsed="false">
      <c r="L411" s="0" t="n">
        <v>406</v>
      </c>
      <c r="M411" s="37" t="str">
        <f aca="false">IF(L411&gt;$B$6,"",INDEX(Example!$P$7:$P$506,MATCH(L411,Example!$AI$7:$AI$506,0)))</f>
        <v/>
      </c>
      <c r="N411" s="0" t="str">
        <f aca="false">IF(L411&gt;$B$6,"",INDEX(Example!$A$7:$A$506,MATCH(L411,Example!$AI$7:$AI$506,0)))</f>
        <v/>
      </c>
      <c r="O411" s="34" t="str">
        <f aca="false">IF(L411&gt;$B$6,"",INDEX(Example!$AC$7:$AC$506,MATCH(L411,Example!$AI$7:$AI$506,0)))</f>
        <v/>
      </c>
      <c r="P411" s="35" t="str">
        <f aca="false">IF(L411&gt;$B$6,"",INDEX(Example!$AD$7:$AD$506,MATCH(L411,Example!$AI$7:$AI$506,0)))</f>
        <v/>
      </c>
      <c r="Q411" s="34" t="n">
        <f aca="false">IF(L411&gt;$B$6,Q410,Q410+O411)</f>
        <v>22057.5</v>
      </c>
      <c r="R411" s="34" t="str">
        <f aca="false">IF(L411&gt;$B$6,"",Q411-MAX($Q$5:Q411))</f>
        <v/>
      </c>
    </row>
    <row r="412" customFormat="false" ht="15" hidden="false" customHeight="false" outlineLevel="0" collapsed="false">
      <c r="L412" s="0" t="n">
        <v>407</v>
      </c>
      <c r="M412" s="37" t="str">
        <f aca="false">IF(L412&gt;$B$6,"",INDEX(Example!$P$7:$P$506,MATCH(L412,Example!$AI$7:$AI$506,0)))</f>
        <v/>
      </c>
      <c r="N412" s="0" t="str">
        <f aca="false">IF(L412&gt;$B$6,"",INDEX(Example!$A$7:$A$506,MATCH(L412,Example!$AI$7:$AI$506,0)))</f>
        <v/>
      </c>
      <c r="O412" s="34" t="str">
        <f aca="false">IF(L412&gt;$B$6,"",INDEX(Example!$AC$7:$AC$506,MATCH(L412,Example!$AI$7:$AI$506,0)))</f>
        <v/>
      </c>
      <c r="P412" s="35" t="str">
        <f aca="false">IF(L412&gt;$B$6,"",INDEX(Example!$AD$7:$AD$506,MATCH(L412,Example!$AI$7:$AI$506,0)))</f>
        <v/>
      </c>
      <c r="Q412" s="34" t="n">
        <f aca="false">IF(L412&gt;$B$6,Q411,Q411+O412)</f>
        <v>22057.5</v>
      </c>
      <c r="R412" s="34" t="str">
        <f aca="false">IF(L412&gt;$B$6,"",Q412-MAX($Q$5:Q412))</f>
        <v/>
      </c>
    </row>
    <row r="413" customFormat="false" ht="15" hidden="false" customHeight="false" outlineLevel="0" collapsed="false">
      <c r="L413" s="0" t="n">
        <v>408</v>
      </c>
      <c r="M413" s="37" t="str">
        <f aca="false">IF(L413&gt;$B$6,"",INDEX(Example!$P$7:$P$506,MATCH(L413,Example!$AI$7:$AI$506,0)))</f>
        <v/>
      </c>
      <c r="N413" s="0" t="str">
        <f aca="false">IF(L413&gt;$B$6,"",INDEX(Example!$A$7:$A$506,MATCH(L413,Example!$AI$7:$AI$506,0)))</f>
        <v/>
      </c>
      <c r="O413" s="34" t="str">
        <f aca="false">IF(L413&gt;$B$6,"",INDEX(Example!$AC$7:$AC$506,MATCH(L413,Example!$AI$7:$AI$506,0)))</f>
        <v/>
      </c>
      <c r="P413" s="35" t="str">
        <f aca="false">IF(L413&gt;$B$6,"",INDEX(Example!$AD$7:$AD$506,MATCH(L413,Example!$AI$7:$AI$506,0)))</f>
        <v/>
      </c>
      <c r="Q413" s="34" t="n">
        <f aca="false">IF(L413&gt;$B$6,Q412,Q412+O413)</f>
        <v>22057.5</v>
      </c>
      <c r="R413" s="34" t="str">
        <f aca="false">IF(L413&gt;$B$6,"",Q413-MAX($Q$5:Q413))</f>
        <v/>
      </c>
    </row>
    <row r="414" customFormat="false" ht="15" hidden="false" customHeight="false" outlineLevel="0" collapsed="false">
      <c r="L414" s="0" t="n">
        <v>409</v>
      </c>
      <c r="M414" s="37" t="str">
        <f aca="false">IF(L414&gt;$B$6,"",INDEX(Example!$P$7:$P$506,MATCH(L414,Example!$AI$7:$AI$506,0)))</f>
        <v/>
      </c>
      <c r="N414" s="0" t="str">
        <f aca="false">IF(L414&gt;$B$6,"",INDEX(Example!$A$7:$A$506,MATCH(L414,Example!$AI$7:$AI$506,0)))</f>
        <v/>
      </c>
      <c r="O414" s="34" t="str">
        <f aca="false">IF(L414&gt;$B$6,"",INDEX(Example!$AC$7:$AC$506,MATCH(L414,Example!$AI$7:$AI$506,0)))</f>
        <v/>
      </c>
      <c r="P414" s="35" t="str">
        <f aca="false">IF(L414&gt;$B$6,"",INDEX(Example!$AD$7:$AD$506,MATCH(L414,Example!$AI$7:$AI$506,0)))</f>
        <v/>
      </c>
      <c r="Q414" s="34" t="n">
        <f aca="false">IF(L414&gt;$B$6,Q413,Q413+O414)</f>
        <v>22057.5</v>
      </c>
      <c r="R414" s="34" t="str">
        <f aca="false">IF(L414&gt;$B$6,"",Q414-MAX($Q$5:Q414))</f>
        <v/>
      </c>
    </row>
    <row r="415" customFormat="false" ht="15" hidden="false" customHeight="false" outlineLevel="0" collapsed="false">
      <c r="L415" s="0" t="n">
        <v>410</v>
      </c>
      <c r="M415" s="37" t="str">
        <f aca="false">IF(L415&gt;$B$6,"",INDEX(Example!$P$7:$P$506,MATCH(L415,Example!$AI$7:$AI$506,0)))</f>
        <v/>
      </c>
      <c r="N415" s="0" t="str">
        <f aca="false">IF(L415&gt;$B$6,"",INDEX(Example!$A$7:$A$506,MATCH(L415,Example!$AI$7:$AI$506,0)))</f>
        <v/>
      </c>
      <c r="O415" s="34" t="str">
        <f aca="false">IF(L415&gt;$B$6,"",INDEX(Example!$AC$7:$AC$506,MATCH(L415,Example!$AI$7:$AI$506,0)))</f>
        <v/>
      </c>
      <c r="P415" s="35" t="str">
        <f aca="false">IF(L415&gt;$B$6,"",INDEX(Example!$AD$7:$AD$506,MATCH(L415,Example!$AI$7:$AI$506,0)))</f>
        <v/>
      </c>
      <c r="Q415" s="34" t="n">
        <f aca="false">IF(L415&gt;$B$6,Q414,Q414+O415)</f>
        <v>22057.5</v>
      </c>
      <c r="R415" s="34" t="str">
        <f aca="false">IF(L415&gt;$B$6,"",Q415-MAX($Q$5:Q415))</f>
        <v/>
      </c>
    </row>
    <row r="416" customFormat="false" ht="15" hidden="false" customHeight="false" outlineLevel="0" collapsed="false">
      <c r="L416" s="0" t="n">
        <v>411</v>
      </c>
      <c r="M416" s="37" t="str">
        <f aca="false">IF(L416&gt;$B$6,"",INDEX(Example!$P$7:$P$506,MATCH(L416,Example!$AI$7:$AI$506,0)))</f>
        <v/>
      </c>
      <c r="N416" s="0" t="str">
        <f aca="false">IF(L416&gt;$B$6,"",INDEX(Example!$A$7:$A$506,MATCH(L416,Example!$AI$7:$AI$506,0)))</f>
        <v/>
      </c>
      <c r="O416" s="34" t="str">
        <f aca="false">IF(L416&gt;$B$6,"",INDEX(Example!$AC$7:$AC$506,MATCH(L416,Example!$AI$7:$AI$506,0)))</f>
        <v/>
      </c>
      <c r="P416" s="35" t="str">
        <f aca="false">IF(L416&gt;$B$6,"",INDEX(Example!$AD$7:$AD$506,MATCH(L416,Example!$AI$7:$AI$506,0)))</f>
        <v/>
      </c>
      <c r="Q416" s="34" t="n">
        <f aca="false">IF(L416&gt;$B$6,Q415,Q415+O416)</f>
        <v>22057.5</v>
      </c>
      <c r="R416" s="34" t="str">
        <f aca="false">IF(L416&gt;$B$6,"",Q416-MAX($Q$5:Q416))</f>
        <v/>
      </c>
    </row>
    <row r="417" customFormat="false" ht="15" hidden="false" customHeight="false" outlineLevel="0" collapsed="false">
      <c r="L417" s="0" t="n">
        <v>412</v>
      </c>
      <c r="M417" s="37" t="str">
        <f aca="false">IF(L417&gt;$B$6,"",INDEX(Example!$P$7:$P$506,MATCH(L417,Example!$AI$7:$AI$506,0)))</f>
        <v/>
      </c>
      <c r="N417" s="0" t="str">
        <f aca="false">IF(L417&gt;$B$6,"",INDEX(Example!$A$7:$A$506,MATCH(L417,Example!$AI$7:$AI$506,0)))</f>
        <v/>
      </c>
      <c r="O417" s="34" t="str">
        <f aca="false">IF(L417&gt;$B$6,"",INDEX(Example!$AC$7:$AC$506,MATCH(L417,Example!$AI$7:$AI$506,0)))</f>
        <v/>
      </c>
      <c r="P417" s="35" t="str">
        <f aca="false">IF(L417&gt;$B$6,"",INDEX(Example!$AD$7:$AD$506,MATCH(L417,Example!$AI$7:$AI$506,0)))</f>
        <v/>
      </c>
      <c r="Q417" s="34" t="n">
        <f aca="false">IF(L417&gt;$B$6,Q416,Q416+O417)</f>
        <v>22057.5</v>
      </c>
      <c r="R417" s="34" t="str">
        <f aca="false">IF(L417&gt;$B$6,"",Q417-MAX($Q$5:Q417))</f>
        <v/>
      </c>
    </row>
    <row r="418" customFormat="false" ht="15" hidden="false" customHeight="false" outlineLevel="0" collapsed="false">
      <c r="L418" s="0" t="n">
        <v>413</v>
      </c>
      <c r="M418" s="37" t="str">
        <f aca="false">IF(L418&gt;$B$6,"",INDEX(Example!$P$7:$P$506,MATCH(L418,Example!$AI$7:$AI$506,0)))</f>
        <v/>
      </c>
      <c r="N418" s="0" t="str">
        <f aca="false">IF(L418&gt;$B$6,"",INDEX(Example!$A$7:$A$506,MATCH(L418,Example!$AI$7:$AI$506,0)))</f>
        <v/>
      </c>
      <c r="O418" s="34" t="str">
        <f aca="false">IF(L418&gt;$B$6,"",INDEX(Example!$AC$7:$AC$506,MATCH(L418,Example!$AI$7:$AI$506,0)))</f>
        <v/>
      </c>
      <c r="P418" s="35" t="str">
        <f aca="false">IF(L418&gt;$B$6,"",INDEX(Example!$AD$7:$AD$506,MATCH(L418,Example!$AI$7:$AI$506,0)))</f>
        <v/>
      </c>
      <c r="Q418" s="34" t="n">
        <f aca="false">IF(L418&gt;$B$6,Q417,Q417+O418)</f>
        <v>22057.5</v>
      </c>
      <c r="R418" s="34" t="str">
        <f aca="false">IF(L418&gt;$B$6,"",Q418-MAX($Q$5:Q418))</f>
        <v/>
      </c>
    </row>
    <row r="419" customFormat="false" ht="15" hidden="false" customHeight="false" outlineLevel="0" collapsed="false">
      <c r="L419" s="0" t="n">
        <v>414</v>
      </c>
      <c r="M419" s="37" t="str">
        <f aca="false">IF(L419&gt;$B$6,"",INDEX(Example!$P$7:$P$506,MATCH(L419,Example!$AI$7:$AI$506,0)))</f>
        <v/>
      </c>
      <c r="N419" s="0" t="str">
        <f aca="false">IF(L419&gt;$B$6,"",INDEX(Example!$A$7:$A$506,MATCH(L419,Example!$AI$7:$AI$506,0)))</f>
        <v/>
      </c>
      <c r="O419" s="34" t="str">
        <f aca="false">IF(L419&gt;$B$6,"",INDEX(Example!$AC$7:$AC$506,MATCH(L419,Example!$AI$7:$AI$506,0)))</f>
        <v/>
      </c>
      <c r="P419" s="35" t="str">
        <f aca="false">IF(L419&gt;$B$6,"",INDEX(Example!$AD$7:$AD$506,MATCH(L419,Example!$AI$7:$AI$506,0)))</f>
        <v/>
      </c>
      <c r="Q419" s="34" t="n">
        <f aca="false">IF(L419&gt;$B$6,Q418,Q418+O419)</f>
        <v>22057.5</v>
      </c>
      <c r="R419" s="34" t="str">
        <f aca="false">IF(L419&gt;$B$6,"",Q419-MAX($Q$5:Q419))</f>
        <v/>
      </c>
    </row>
    <row r="420" customFormat="false" ht="15" hidden="false" customHeight="false" outlineLevel="0" collapsed="false">
      <c r="L420" s="0" t="n">
        <v>415</v>
      </c>
      <c r="M420" s="37" t="str">
        <f aca="false">IF(L420&gt;$B$6,"",INDEX(Example!$P$7:$P$506,MATCH(L420,Example!$AI$7:$AI$506,0)))</f>
        <v/>
      </c>
      <c r="N420" s="0" t="str">
        <f aca="false">IF(L420&gt;$B$6,"",INDEX(Example!$A$7:$A$506,MATCH(L420,Example!$AI$7:$AI$506,0)))</f>
        <v/>
      </c>
      <c r="O420" s="34" t="str">
        <f aca="false">IF(L420&gt;$B$6,"",INDEX(Example!$AC$7:$AC$506,MATCH(L420,Example!$AI$7:$AI$506,0)))</f>
        <v/>
      </c>
      <c r="P420" s="35" t="str">
        <f aca="false">IF(L420&gt;$B$6,"",INDEX(Example!$AD$7:$AD$506,MATCH(L420,Example!$AI$7:$AI$506,0)))</f>
        <v/>
      </c>
      <c r="Q420" s="34" t="n">
        <f aca="false">IF(L420&gt;$B$6,Q419,Q419+O420)</f>
        <v>22057.5</v>
      </c>
      <c r="R420" s="34" t="str">
        <f aca="false">IF(L420&gt;$B$6,"",Q420-MAX($Q$5:Q420))</f>
        <v/>
      </c>
    </row>
    <row r="421" customFormat="false" ht="15" hidden="false" customHeight="false" outlineLevel="0" collapsed="false">
      <c r="L421" s="0" t="n">
        <v>416</v>
      </c>
      <c r="M421" s="37" t="str">
        <f aca="false">IF(L421&gt;$B$6,"",INDEX(Example!$P$7:$P$506,MATCH(L421,Example!$AI$7:$AI$506,0)))</f>
        <v/>
      </c>
      <c r="N421" s="0" t="str">
        <f aca="false">IF(L421&gt;$B$6,"",INDEX(Example!$A$7:$A$506,MATCH(L421,Example!$AI$7:$AI$506,0)))</f>
        <v/>
      </c>
      <c r="O421" s="34" t="str">
        <f aca="false">IF(L421&gt;$B$6,"",INDEX(Example!$AC$7:$AC$506,MATCH(L421,Example!$AI$7:$AI$506,0)))</f>
        <v/>
      </c>
      <c r="P421" s="35" t="str">
        <f aca="false">IF(L421&gt;$B$6,"",INDEX(Example!$AD$7:$AD$506,MATCH(L421,Example!$AI$7:$AI$506,0)))</f>
        <v/>
      </c>
      <c r="Q421" s="34" t="n">
        <f aca="false">IF(L421&gt;$B$6,Q420,Q420+O421)</f>
        <v>22057.5</v>
      </c>
      <c r="R421" s="34" t="str">
        <f aca="false">IF(L421&gt;$B$6,"",Q421-MAX($Q$5:Q421))</f>
        <v/>
      </c>
    </row>
    <row r="422" customFormat="false" ht="15" hidden="false" customHeight="false" outlineLevel="0" collapsed="false">
      <c r="L422" s="0" t="n">
        <v>417</v>
      </c>
      <c r="M422" s="37" t="str">
        <f aca="false">IF(L422&gt;$B$6,"",INDEX(Example!$P$7:$P$506,MATCH(L422,Example!$AI$7:$AI$506,0)))</f>
        <v/>
      </c>
      <c r="N422" s="0" t="str">
        <f aca="false">IF(L422&gt;$B$6,"",INDEX(Example!$A$7:$A$506,MATCH(L422,Example!$AI$7:$AI$506,0)))</f>
        <v/>
      </c>
      <c r="O422" s="34" t="str">
        <f aca="false">IF(L422&gt;$B$6,"",INDEX(Example!$AC$7:$AC$506,MATCH(L422,Example!$AI$7:$AI$506,0)))</f>
        <v/>
      </c>
      <c r="P422" s="35" t="str">
        <f aca="false">IF(L422&gt;$B$6,"",INDEX(Example!$AD$7:$AD$506,MATCH(L422,Example!$AI$7:$AI$506,0)))</f>
        <v/>
      </c>
      <c r="Q422" s="34" t="n">
        <f aca="false">IF(L422&gt;$B$6,Q421,Q421+O422)</f>
        <v>22057.5</v>
      </c>
      <c r="R422" s="34" t="str">
        <f aca="false">IF(L422&gt;$B$6,"",Q422-MAX($Q$5:Q422))</f>
        <v/>
      </c>
    </row>
    <row r="423" customFormat="false" ht="15" hidden="false" customHeight="false" outlineLevel="0" collapsed="false">
      <c r="L423" s="0" t="n">
        <v>418</v>
      </c>
      <c r="M423" s="37" t="str">
        <f aca="false">IF(L423&gt;$B$6,"",INDEX(Example!$P$7:$P$506,MATCH(L423,Example!$AI$7:$AI$506,0)))</f>
        <v/>
      </c>
      <c r="N423" s="0" t="str">
        <f aca="false">IF(L423&gt;$B$6,"",INDEX(Example!$A$7:$A$506,MATCH(L423,Example!$AI$7:$AI$506,0)))</f>
        <v/>
      </c>
      <c r="O423" s="34" t="str">
        <f aca="false">IF(L423&gt;$B$6,"",INDEX(Example!$AC$7:$AC$506,MATCH(L423,Example!$AI$7:$AI$506,0)))</f>
        <v/>
      </c>
      <c r="P423" s="35" t="str">
        <f aca="false">IF(L423&gt;$B$6,"",INDEX(Example!$AD$7:$AD$506,MATCH(L423,Example!$AI$7:$AI$506,0)))</f>
        <v/>
      </c>
      <c r="Q423" s="34" t="n">
        <f aca="false">IF(L423&gt;$B$6,Q422,Q422+O423)</f>
        <v>22057.5</v>
      </c>
      <c r="R423" s="34" t="str">
        <f aca="false">IF(L423&gt;$B$6,"",Q423-MAX($Q$5:Q423))</f>
        <v/>
      </c>
    </row>
    <row r="424" customFormat="false" ht="15" hidden="false" customHeight="false" outlineLevel="0" collapsed="false">
      <c r="L424" s="0" t="n">
        <v>419</v>
      </c>
      <c r="M424" s="37" t="str">
        <f aca="false">IF(L424&gt;$B$6,"",INDEX(Example!$P$7:$P$506,MATCH(L424,Example!$AI$7:$AI$506,0)))</f>
        <v/>
      </c>
      <c r="N424" s="0" t="str">
        <f aca="false">IF(L424&gt;$B$6,"",INDEX(Example!$A$7:$A$506,MATCH(L424,Example!$AI$7:$AI$506,0)))</f>
        <v/>
      </c>
      <c r="O424" s="34" t="str">
        <f aca="false">IF(L424&gt;$B$6,"",INDEX(Example!$AC$7:$AC$506,MATCH(L424,Example!$AI$7:$AI$506,0)))</f>
        <v/>
      </c>
      <c r="P424" s="35" t="str">
        <f aca="false">IF(L424&gt;$B$6,"",INDEX(Example!$AD$7:$AD$506,MATCH(L424,Example!$AI$7:$AI$506,0)))</f>
        <v/>
      </c>
      <c r="Q424" s="34" t="n">
        <f aca="false">IF(L424&gt;$B$6,Q423,Q423+O424)</f>
        <v>22057.5</v>
      </c>
      <c r="R424" s="34" t="str">
        <f aca="false">IF(L424&gt;$B$6,"",Q424-MAX($Q$5:Q424))</f>
        <v/>
      </c>
    </row>
    <row r="425" customFormat="false" ht="15" hidden="false" customHeight="false" outlineLevel="0" collapsed="false">
      <c r="L425" s="0" t="n">
        <v>420</v>
      </c>
      <c r="M425" s="37" t="str">
        <f aca="false">IF(L425&gt;$B$6,"",INDEX(Example!$P$7:$P$506,MATCH(L425,Example!$AI$7:$AI$506,0)))</f>
        <v/>
      </c>
      <c r="N425" s="0" t="str">
        <f aca="false">IF(L425&gt;$B$6,"",INDEX(Example!$A$7:$A$506,MATCH(L425,Example!$AI$7:$AI$506,0)))</f>
        <v/>
      </c>
      <c r="O425" s="34" t="str">
        <f aca="false">IF(L425&gt;$B$6,"",INDEX(Example!$AC$7:$AC$506,MATCH(L425,Example!$AI$7:$AI$506,0)))</f>
        <v/>
      </c>
      <c r="P425" s="35" t="str">
        <f aca="false">IF(L425&gt;$B$6,"",INDEX(Example!$AD$7:$AD$506,MATCH(L425,Example!$AI$7:$AI$506,0)))</f>
        <v/>
      </c>
      <c r="Q425" s="34" t="n">
        <f aca="false">IF(L425&gt;$B$6,Q424,Q424+O425)</f>
        <v>22057.5</v>
      </c>
      <c r="R425" s="34" t="str">
        <f aca="false">IF(L425&gt;$B$6,"",Q425-MAX($Q$5:Q425))</f>
        <v/>
      </c>
    </row>
    <row r="426" customFormat="false" ht="15" hidden="false" customHeight="false" outlineLevel="0" collapsed="false">
      <c r="L426" s="0" t="n">
        <v>421</v>
      </c>
      <c r="M426" s="37" t="str">
        <f aca="false">IF(L426&gt;$B$6,"",INDEX(Example!$P$7:$P$506,MATCH(L426,Example!$AI$7:$AI$506,0)))</f>
        <v/>
      </c>
      <c r="N426" s="0" t="str">
        <f aca="false">IF(L426&gt;$B$6,"",INDEX(Example!$A$7:$A$506,MATCH(L426,Example!$AI$7:$AI$506,0)))</f>
        <v/>
      </c>
      <c r="O426" s="34" t="str">
        <f aca="false">IF(L426&gt;$B$6,"",INDEX(Example!$AC$7:$AC$506,MATCH(L426,Example!$AI$7:$AI$506,0)))</f>
        <v/>
      </c>
      <c r="P426" s="35" t="str">
        <f aca="false">IF(L426&gt;$B$6,"",INDEX(Example!$AD$7:$AD$506,MATCH(L426,Example!$AI$7:$AI$506,0)))</f>
        <v/>
      </c>
      <c r="Q426" s="34" t="n">
        <f aca="false">IF(L426&gt;$B$6,Q425,Q425+O426)</f>
        <v>22057.5</v>
      </c>
      <c r="R426" s="34" t="str">
        <f aca="false">IF(L426&gt;$B$6,"",Q426-MAX($Q$5:Q426))</f>
        <v/>
      </c>
    </row>
    <row r="427" customFormat="false" ht="15" hidden="false" customHeight="false" outlineLevel="0" collapsed="false">
      <c r="L427" s="0" t="n">
        <v>422</v>
      </c>
      <c r="M427" s="37" t="str">
        <f aca="false">IF(L427&gt;$B$6,"",INDEX(Example!$P$7:$P$506,MATCH(L427,Example!$AI$7:$AI$506,0)))</f>
        <v/>
      </c>
      <c r="N427" s="0" t="str">
        <f aca="false">IF(L427&gt;$B$6,"",INDEX(Example!$A$7:$A$506,MATCH(L427,Example!$AI$7:$AI$506,0)))</f>
        <v/>
      </c>
      <c r="O427" s="34" t="str">
        <f aca="false">IF(L427&gt;$B$6,"",INDEX(Example!$AC$7:$AC$506,MATCH(L427,Example!$AI$7:$AI$506,0)))</f>
        <v/>
      </c>
      <c r="P427" s="35" t="str">
        <f aca="false">IF(L427&gt;$B$6,"",INDEX(Example!$AD$7:$AD$506,MATCH(L427,Example!$AI$7:$AI$506,0)))</f>
        <v/>
      </c>
      <c r="Q427" s="34" t="n">
        <f aca="false">IF(L427&gt;$B$6,Q426,Q426+O427)</f>
        <v>22057.5</v>
      </c>
      <c r="R427" s="34" t="str">
        <f aca="false">IF(L427&gt;$B$6,"",Q427-MAX($Q$5:Q427))</f>
        <v/>
      </c>
    </row>
    <row r="428" customFormat="false" ht="15" hidden="false" customHeight="false" outlineLevel="0" collapsed="false">
      <c r="L428" s="0" t="n">
        <v>423</v>
      </c>
      <c r="M428" s="37" t="str">
        <f aca="false">IF(L428&gt;$B$6,"",INDEX(Example!$P$7:$P$506,MATCH(L428,Example!$AI$7:$AI$506,0)))</f>
        <v/>
      </c>
      <c r="N428" s="0" t="str">
        <f aca="false">IF(L428&gt;$B$6,"",INDEX(Example!$A$7:$A$506,MATCH(L428,Example!$AI$7:$AI$506,0)))</f>
        <v/>
      </c>
      <c r="O428" s="34" t="str">
        <f aca="false">IF(L428&gt;$B$6,"",INDEX(Example!$AC$7:$AC$506,MATCH(L428,Example!$AI$7:$AI$506,0)))</f>
        <v/>
      </c>
      <c r="P428" s="35" t="str">
        <f aca="false">IF(L428&gt;$B$6,"",INDEX(Example!$AD$7:$AD$506,MATCH(L428,Example!$AI$7:$AI$506,0)))</f>
        <v/>
      </c>
      <c r="Q428" s="34" t="n">
        <f aca="false">IF(L428&gt;$B$6,Q427,Q427+O428)</f>
        <v>22057.5</v>
      </c>
      <c r="R428" s="34" t="str">
        <f aca="false">IF(L428&gt;$B$6,"",Q428-MAX($Q$5:Q428))</f>
        <v/>
      </c>
    </row>
    <row r="429" customFormat="false" ht="15" hidden="false" customHeight="false" outlineLevel="0" collapsed="false">
      <c r="L429" s="0" t="n">
        <v>424</v>
      </c>
      <c r="M429" s="37" t="str">
        <f aca="false">IF(L429&gt;$B$6,"",INDEX(Example!$P$7:$P$506,MATCH(L429,Example!$AI$7:$AI$506,0)))</f>
        <v/>
      </c>
      <c r="N429" s="0" t="str">
        <f aca="false">IF(L429&gt;$B$6,"",INDEX(Example!$A$7:$A$506,MATCH(L429,Example!$AI$7:$AI$506,0)))</f>
        <v/>
      </c>
      <c r="O429" s="34" t="str">
        <f aca="false">IF(L429&gt;$B$6,"",INDEX(Example!$AC$7:$AC$506,MATCH(L429,Example!$AI$7:$AI$506,0)))</f>
        <v/>
      </c>
      <c r="P429" s="35" t="str">
        <f aca="false">IF(L429&gt;$B$6,"",INDEX(Example!$AD$7:$AD$506,MATCH(L429,Example!$AI$7:$AI$506,0)))</f>
        <v/>
      </c>
      <c r="Q429" s="34" t="n">
        <f aca="false">IF(L429&gt;$B$6,Q428,Q428+O429)</f>
        <v>22057.5</v>
      </c>
      <c r="R429" s="34" t="str">
        <f aca="false">IF(L429&gt;$B$6,"",Q429-MAX($Q$5:Q429))</f>
        <v/>
      </c>
    </row>
    <row r="430" customFormat="false" ht="15" hidden="false" customHeight="false" outlineLevel="0" collapsed="false">
      <c r="L430" s="0" t="n">
        <v>425</v>
      </c>
      <c r="M430" s="37" t="str">
        <f aca="false">IF(L430&gt;$B$6,"",INDEX(Example!$P$7:$P$506,MATCH(L430,Example!$AI$7:$AI$506,0)))</f>
        <v/>
      </c>
      <c r="N430" s="0" t="str">
        <f aca="false">IF(L430&gt;$B$6,"",INDEX(Example!$A$7:$A$506,MATCH(L430,Example!$AI$7:$AI$506,0)))</f>
        <v/>
      </c>
      <c r="O430" s="34" t="str">
        <f aca="false">IF(L430&gt;$B$6,"",INDEX(Example!$AC$7:$AC$506,MATCH(L430,Example!$AI$7:$AI$506,0)))</f>
        <v/>
      </c>
      <c r="P430" s="35" t="str">
        <f aca="false">IF(L430&gt;$B$6,"",INDEX(Example!$AD$7:$AD$506,MATCH(L430,Example!$AI$7:$AI$506,0)))</f>
        <v/>
      </c>
      <c r="Q430" s="34" t="n">
        <f aca="false">IF(L430&gt;$B$6,Q429,Q429+O430)</f>
        <v>22057.5</v>
      </c>
      <c r="R430" s="34" t="str">
        <f aca="false">IF(L430&gt;$B$6,"",Q430-MAX($Q$5:Q430))</f>
        <v/>
      </c>
    </row>
    <row r="431" customFormat="false" ht="15" hidden="false" customHeight="false" outlineLevel="0" collapsed="false">
      <c r="L431" s="0" t="n">
        <v>426</v>
      </c>
      <c r="M431" s="37" t="str">
        <f aca="false">IF(L431&gt;$B$6,"",INDEX(Example!$P$7:$P$506,MATCH(L431,Example!$AI$7:$AI$506,0)))</f>
        <v/>
      </c>
      <c r="N431" s="0" t="str">
        <f aca="false">IF(L431&gt;$B$6,"",INDEX(Example!$A$7:$A$506,MATCH(L431,Example!$AI$7:$AI$506,0)))</f>
        <v/>
      </c>
      <c r="O431" s="34" t="str">
        <f aca="false">IF(L431&gt;$B$6,"",INDEX(Example!$AC$7:$AC$506,MATCH(L431,Example!$AI$7:$AI$506,0)))</f>
        <v/>
      </c>
      <c r="P431" s="35" t="str">
        <f aca="false">IF(L431&gt;$B$6,"",INDEX(Example!$AD$7:$AD$506,MATCH(L431,Example!$AI$7:$AI$506,0)))</f>
        <v/>
      </c>
      <c r="Q431" s="34" t="n">
        <f aca="false">IF(L431&gt;$B$6,Q430,Q430+O431)</f>
        <v>22057.5</v>
      </c>
      <c r="R431" s="34" t="str">
        <f aca="false">IF(L431&gt;$B$6,"",Q431-MAX($Q$5:Q431))</f>
        <v/>
      </c>
    </row>
    <row r="432" customFormat="false" ht="15" hidden="false" customHeight="false" outlineLevel="0" collapsed="false">
      <c r="L432" s="0" t="n">
        <v>427</v>
      </c>
      <c r="M432" s="37" t="str">
        <f aca="false">IF(L432&gt;$B$6,"",INDEX(Example!$P$7:$P$506,MATCH(L432,Example!$AI$7:$AI$506,0)))</f>
        <v/>
      </c>
      <c r="N432" s="0" t="str">
        <f aca="false">IF(L432&gt;$B$6,"",INDEX(Example!$A$7:$A$506,MATCH(L432,Example!$AI$7:$AI$506,0)))</f>
        <v/>
      </c>
      <c r="O432" s="34" t="str">
        <f aca="false">IF(L432&gt;$B$6,"",INDEX(Example!$AC$7:$AC$506,MATCH(L432,Example!$AI$7:$AI$506,0)))</f>
        <v/>
      </c>
      <c r="P432" s="35" t="str">
        <f aca="false">IF(L432&gt;$B$6,"",INDEX(Example!$AD$7:$AD$506,MATCH(L432,Example!$AI$7:$AI$506,0)))</f>
        <v/>
      </c>
      <c r="Q432" s="34" t="n">
        <f aca="false">IF(L432&gt;$B$6,Q431,Q431+O432)</f>
        <v>22057.5</v>
      </c>
      <c r="R432" s="34" t="str">
        <f aca="false">IF(L432&gt;$B$6,"",Q432-MAX($Q$5:Q432))</f>
        <v/>
      </c>
    </row>
    <row r="433" customFormat="false" ht="15" hidden="false" customHeight="false" outlineLevel="0" collapsed="false">
      <c r="L433" s="0" t="n">
        <v>428</v>
      </c>
      <c r="M433" s="37" t="str">
        <f aca="false">IF(L433&gt;$B$6,"",INDEX(Example!$P$7:$P$506,MATCH(L433,Example!$AI$7:$AI$506,0)))</f>
        <v/>
      </c>
      <c r="N433" s="0" t="str">
        <f aca="false">IF(L433&gt;$B$6,"",INDEX(Example!$A$7:$A$506,MATCH(L433,Example!$AI$7:$AI$506,0)))</f>
        <v/>
      </c>
      <c r="O433" s="34" t="str">
        <f aca="false">IF(L433&gt;$B$6,"",INDEX(Example!$AC$7:$AC$506,MATCH(L433,Example!$AI$7:$AI$506,0)))</f>
        <v/>
      </c>
      <c r="P433" s="35" t="str">
        <f aca="false">IF(L433&gt;$B$6,"",INDEX(Example!$AD$7:$AD$506,MATCH(L433,Example!$AI$7:$AI$506,0)))</f>
        <v/>
      </c>
      <c r="Q433" s="34" t="n">
        <f aca="false">IF(L433&gt;$B$6,Q432,Q432+O433)</f>
        <v>22057.5</v>
      </c>
      <c r="R433" s="34" t="str">
        <f aca="false">IF(L433&gt;$B$6,"",Q433-MAX($Q$5:Q433))</f>
        <v/>
      </c>
    </row>
    <row r="434" customFormat="false" ht="15" hidden="false" customHeight="false" outlineLevel="0" collapsed="false">
      <c r="L434" s="0" t="n">
        <v>429</v>
      </c>
      <c r="M434" s="37" t="str">
        <f aca="false">IF(L434&gt;$B$6,"",INDEX(Example!$P$7:$P$506,MATCH(L434,Example!$AI$7:$AI$506,0)))</f>
        <v/>
      </c>
      <c r="N434" s="0" t="str">
        <f aca="false">IF(L434&gt;$B$6,"",INDEX(Example!$A$7:$A$506,MATCH(L434,Example!$AI$7:$AI$506,0)))</f>
        <v/>
      </c>
      <c r="O434" s="34" t="str">
        <f aca="false">IF(L434&gt;$B$6,"",INDEX(Example!$AC$7:$AC$506,MATCH(L434,Example!$AI$7:$AI$506,0)))</f>
        <v/>
      </c>
      <c r="P434" s="35" t="str">
        <f aca="false">IF(L434&gt;$B$6,"",INDEX(Example!$AD$7:$AD$506,MATCH(L434,Example!$AI$7:$AI$506,0)))</f>
        <v/>
      </c>
      <c r="Q434" s="34" t="n">
        <f aca="false">IF(L434&gt;$B$6,Q433,Q433+O434)</f>
        <v>22057.5</v>
      </c>
      <c r="R434" s="34" t="str">
        <f aca="false">IF(L434&gt;$B$6,"",Q434-MAX($Q$5:Q434))</f>
        <v/>
      </c>
    </row>
    <row r="435" customFormat="false" ht="15" hidden="false" customHeight="false" outlineLevel="0" collapsed="false">
      <c r="L435" s="0" t="n">
        <v>430</v>
      </c>
      <c r="M435" s="37" t="str">
        <f aca="false">IF(L435&gt;$B$6,"",INDEX(Example!$P$7:$P$506,MATCH(L435,Example!$AI$7:$AI$506,0)))</f>
        <v/>
      </c>
      <c r="N435" s="0" t="str">
        <f aca="false">IF(L435&gt;$B$6,"",INDEX(Example!$A$7:$A$506,MATCH(L435,Example!$AI$7:$AI$506,0)))</f>
        <v/>
      </c>
      <c r="O435" s="34" t="str">
        <f aca="false">IF(L435&gt;$B$6,"",INDEX(Example!$AC$7:$AC$506,MATCH(L435,Example!$AI$7:$AI$506,0)))</f>
        <v/>
      </c>
      <c r="P435" s="35" t="str">
        <f aca="false">IF(L435&gt;$B$6,"",INDEX(Example!$AD$7:$AD$506,MATCH(L435,Example!$AI$7:$AI$506,0)))</f>
        <v/>
      </c>
      <c r="Q435" s="34" t="n">
        <f aca="false">IF(L435&gt;$B$6,Q434,Q434+O435)</f>
        <v>22057.5</v>
      </c>
      <c r="R435" s="34" t="str">
        <f aca="false">IF(L435&gt;$B$6,"",Q435-MAX($Q$5:Q435))</f>
        <v/>
      </c>
    </row>
    <row r="436" customFormat="false" ht="15" hidden="false" customHeight="false" outlineLevel="0" collapsed="false">
      <c r="L436" s="0" t="n">
        <v>431</v>
      </c>
      <c r="M436" s="37" t="str">
        <f aca="false">IF(L436&gt;$B$6,"",INDEX(Example!$P$7:$P$506,MATCH(L436,Example!$AI$7:$AI$506,0)))</f>
        <v/>
      </c>
      <c r="N436" s="0" t="str">
        <f aca="false">IF(L436&gt;$B$6,"",INDEX(Example!$A$7:$A$506,MATCH(L436,Example!$AI$7:$AI$506,0)))</f>
        <v/>
      </c>
      <c r="O436" s="34" t="str">
        <f aca="false">IF(L436&gt;$B$6,"",INDEX(Example!$AC$7:$AC$506,MATCH(L436,Example!$AI$7:$AI$506,0)))</f>
        <v/>
      </c>
      <c r="P436" s="35" t="str">
        <f aca="false">IF(L436&gt;$B$6,"",INDEX(Example!$AD$7:$AD$506,MATCH(L436,Example!$AI$7:$AI$506,0)))</f>
        <v/>
      </c>
      <c r="Q436" s="34" t="n">
        <f aca="false">IF(L436&gt;$B$6,Q435,Q435+O436)</f>
        <v>22057.5</v>
      </c>
      <c r="R436" s="34" t="str">
        <f aca="false">IF(L436&gt;$B$6,"",Q436-MAX($Q$5:Q436))</f>
        <v/>
      </c>
    </row>
    <row r="437" customFormat="false" ht="15" hidden="false" customHeight="false" outlineLevel="0" collapsed="false">
      <c r="L437" s="0" t="n">
        <v>432</v>
      </c>
      <c r="M437" s="37" t="str">
        <f aca="false">IF(L437&gt;$B$6,"",INDEX(Example!$P$7:$P$506,MATCH(L437,Example!$AI$7:$AI$506,0)))</f>
        <v/>
      </c>
      <c r="N437" s="0" t="str">
        <f aca="false">IF(L437&gt;$B$6,"",INDEX(Example!$A$7:$A$506,MATCH(L437,Example!$AI$7:$AI$506,0)))</f>
        <v/>
      </c>
      <c r="O437" s="34" t="str">
        <f aca="false">IF(L437&gt;$B$6,"",INDEX(Example!$AC$7:$AC$506,MATCH(L437,Example!$AI$7:$AI$506,0)))</f>
        <v/>
      </c>
      <c r="P437" s="35" t="str">
        <f aca="false">IF(L437&gt;$B$6,"",INDEX(Example!$AD$7:$AD$506,MATCH(L437,Example!$AI$7:$AI$506,0)))</f>
        <v/>
      </c>
      <c r="Q437" s="34" t="n">
        <f aca="false">IF(L437&gt;$B$6,Q436,Q436+O437)</f>
        <v>22057.5</v>
      </c>
      <c r="R437" s="34" t="str">
        <f aca="false">IF(L437&gt;$B$6,"",Q437-MAX($Q$5:Q437))</f>
        <v/>
      </c>
    </row>
    <row r="438" customFormat="false" ht="15" hidden="false" customHeight="false" outlineLevel="0" collapsed="false">
      <c r="L438" s="0" t="n">
        <v>433</v>
      </c>
      <c r="M438" s="37" t="str">
        <f aca="false">IF(L438&gt;$B$6,"",INDEX(Example!$P$7:$P$506,MATCH(L438,Example!$AI$7:$AI$506,0)))</f>
        <v/>
      </c>
      <c r="N438" s="0" t="str">
        <f aca="false">IF(L438&gt;$B$6,"",INDEX(Example!$A$7:$A$506,MATCH(L438,Example!$AI$7:$AI$506,0)))</f>
        <v/>
      </c>
      <c r="O438" s="34" t="str">
        <f aca="false">IF(L438&gt;$B$6,"",INDEX(Example!$AC$7:$AC$506,MATCH(L438,Example!$AI$7:$AI$506,0)))</f>
        <v/>
      </c>
      <c r="P438" s="35" t="str">
        <f aca="false">IF(L438&gt;$B$6,"",INDEX(Example!$AD$7:$AD$506,MATCH(L438,Example!$AI$7:$AI$506,0)))</f>
        <v/>
      </c>
      <c r="Q438" s="34" t="n">
        <f aca="false">IF(L438&gt;$B$6,Q437,Q437+O438)</f>
        <v>22057.5</v>
      </c>
      <c r="R438" s="34" t="str">
        <f aca="false">IF(L438&gt;$B$6,"",Q438-MAX($Q$5:Q438))</f>
        <v/>
      </c>
    </row>
    <row r="439" customFormat="false" ht="15" hidden="false" customHeight="false" outlineLevel="0" collapsed="false">
      <c r="L439" s="0" t="n">
        <v>434</v>
      </c>
      <c r="M439" s="37" t="str">
        <f aca="false">IF(L439&gt;$B$6,"",INDEX(Example!$P$7:$P$506,MATCH(L439,Example!$AI$7:$AI$506,0)))</f>
        <v/>
      </c>
      <c r="N439" s="0" t="str">
        <f aca="false">IF(L439&gt;$B$6,"",INDEX(Example!$A$7:$A$506,MATCH(L439,Example!$AI$7:$AI$506,0)))</f>
        <v/>
      </c>
      <c r="O439" s="34" t="str">
        <f aca="false">IF(L439&gt;$B$6,"",INDEX(Example!$AC$7:$AC$506,MATCH(L439,Example!$AI$7:$AI$506,0)))</f>
        <v/>
      </c>
      <c r="P439" s="35" t="str">
        <f aca="false">IF(L439&gt;$B$6,"",INDEX(Example!$AD$7:$AD$506,MATCH(L439,Example!$AI$7:$AI$506,0)))</f>
        <v/>
      </c>
      <c r="Q439" s="34" t="n">
        <f aca="false">IF(L439&gt;$B$6,Q438,Q438+O439)</f>
        <v>22057.5</v>
      </c>
      <c r="R439" s="34" t="str">
        <f aca="false">IF(L439&gt;$B$6,"",Q439-MAX($Q$5:Q439))</f>
        <v/>
      </c>
    </row>
    <row r="440" customFormat="false" ht="15" hidden="false" customHeight="false" outlineLevel="0" collapsed="false">
      <c r="L440" s="0" t="n">
        <v>435</v>
      </c>
      <c r="M440" s="37" t="str">
        <f aca="false">IF(L440&gt;$B$6,"",INDEX(Example!$P$7:$P$506,MATCH(L440,Example!$AI$7:$AI$506,0)))</f>
        <v/>
      </c>
      <c r="N440" s="0" t="str">
        <f aca="false">IF(L440&gt;$B$6,"",INDEX(Example!$A$7:$A$506,MATCH(L440,Example!$AI$7:$AI$506,0)))</f>
        <v/>
      </c>
      <c r="O440" s="34" t="str">
        <f aca="false">IF(L440&gt;$B$6,"",INDEX(Example!$AC$7:$AC$506,MATCH(L440,Example!$AI$7:$AI$506,0)))</f>
        <v/>
      </c>
      <c r="P440" s="35" t="str">
        <f aca="false">IF(L440&gt;$B$6,"",INDEX(Example!$AD$7:$AD$506,MATCH(L440,Example!$AI$7:$AI$506,0)))</f>
        <v/>
      </c>
      <c r="Q440" s="34" t="n">
        <f aca="false">IF(L440&gt;$B$6,Q439,Q439+O440)</f>
        <v>22057.5</v>
      </c>
      <c r="R440" s="34" t="str">
        <f aca="false">IF(L440&gt;$B$6,"",Q440-MAX($Q$5:Q440))</f>
        <v/>
      </c>
    </row>
    <row r="441" customFormat="false" ht="15" hidden="false" customHeight="false" outlineLevel="0" collapsed="false">
      <c r="L441" s="0" t="n">
        <v>436</v>
      </c>
      <c r="M441" s="37" t="str">
        <f aca="false">IF(L441&gt;$B$6,"",INDEX(Example!$P$7:$P$506,MATCH(L441,Example!$AI$7:$AI$506,0)))</f>
        <v/>
      </c>
      <c r="N441" s="0" t="str">
        <f aca="false">IF(L441&gt;$B$6,"",INDEX(Example!$A$7:$A$506,MATCH(L441,Example!$AI$7:$AI$506,0)))</f>
        <v/>
      </c>
      <c r="O441" s="34" t="str">
        <f aca="false">IF(L441&gt;$B$6,"",INDEX(Example!$AC$7:$AC$506,MATCH(L441,Example!$AI$7:$AI$506,0)))</f>
        <v/>
      </c>
      <c r="P441" s="35" t="str">
        <f aca="false">IF(L441&gt;$B$6,"",INDEX(Example!$AD$7:$AD$506,MATCH(L441,Example!$AI$7:$AI$506,0)))</f>
        <v/>
      </c>
      <c r="Q441" s="34" t="n">
        <f aca="false">IF(L441&gt;$B$6,Q440,Q440+O441)</f>
        <v>22057.5</v>
      </c>
      <c r="R441" s="34" t="str">
        <f aca="false">IF(L441&gt;$B$6,"",Q441-MAX($Q$5:Q441))</f>
        <v/>
      </c>
    </row>
    <row r="442" customFormat="false" ht="15" hidden="false" customHeight="false" outlineLevel="0" collapsed="false">
      <c r="L442" s="0" t="n">
        <v>437</v>
      </c>
      <c r="M442" s="37" t="str">
        <f aca="false">IF(L442&gt;$B$6,"",INDEX(Example!$P$7:$P$506,MATCH(L442,Example!$AI$7:$AI$506,0)))</f>
        <v/>
      </c>
      <c r="N442" s="0" t="str">
        <f aca="false">IF(L442&gt;$B$6,"",INDEX(Example!$A$7:$A$506,MATCH(L442,Example!$AI$7:$AI$506,0)))</f>
        <v/>
      </c>
      <c r="O442" s="34" t="str">
        <f aca="false">IF(L442&gt;$B$6,"",INDEX(Example!$AC$7:$AC$506,MATCH(L442,Example!$AI$7:$AI$506,0)))</f>
        <v/>
      </c>
      <c r="P442" s="35" t="str">
        <f aca="false">IF(L442&gt;$B$6,"",INDEX(Example!$AD$7:$AD$506,MATCH(L442,Example!$AI$7:$AI$506,0)))</f>
        <v/>
      </c>
      <c r="Q442" s="34" t="n">
        <f aca="false">IF(L442&gt;$B$6,Q441,Q441+O442)</f>
        <v>22057.5</v>
      </c>
      <c r="R442" s="34" t="str">
        <f aca="false">IF(L442&gt;$B$6,"",Q442-MAX($Q$5:Q442))</f>
        <v/>
      </c>
    </row>
    <row r="443" customFormat="false" ht="15" hidden="false" customHeight="false" outlineLevel="0" collapsed="false">
      <c r="L443" s="0" t="n">
        <v>438</v>
      </c>
      <c r="M443" s="37" t="str">
        <f aca="false">IF(L443&gt;$B$6,"",INDEX(Example!$P$7:$P$506,MATCH(L443,Example!$AI$7:$AI$506,0)))</f>
        <v/>
      </c>
      <c r="N443" s="0" t="str">
        <f aca="false">IF(L443&gt;$B$6,"",INDEX(Example!$A$7:$A$506,MATCH(L443,Example!$AI$7:$AI$506,0)))</f>
        <v/>
      </c>
      <c r="O443" s="34" t="str">
        <f aca="false">IF(L443&gt;$B$6,"",INDEX(Example!$AC$7:$AC$506,MATCH(L443,Example!$AI$7:$AI$506,0)))</f>
        <v/>
      </c>
      <c r="P443" s="35" t="str">
        <f aca="false">IF(L443&gt;$B$6,"",INDEX(Example!$AD$7:$AD$506,MATCH(L443,Example!$AI$7:$AI$506,0)))</f>
        <v/>
      </c>
      <c r="Q443" s="34" t="n">
        <f aca="false">IF(L443&gt;$B$6,Q442,Q442+O443)</f>
        <v>22057.5</v>
      </c>
      <c r="R443" s="34" t="str">
        <f aca="false">IF(L443&gt;$B$6,"",Q443-MAX($Q$5:Q443))</f>
        <v/>
      </c>
    </row>
    <row r="444" customFormat="false" ht="15" hidden="false" customHeight="false" outlineLevel="0" collapsed="false">
      <c r="L444" s="0" t="n">
        <v>439</v>
      </c>
      <c r="M444" s="37" t="str">
        <f aca="false">IF(L444&gt;$B$6,"",INDEX(Example!$P$7:$P$506,MATCH(L444,Example!$AI$7:$AI$506,0)))</f>
        <v/>
      </c>
      <c r="N444" s="0" t="str">
        <f aca="false">IF(L444&gt;$B$6,"",INDEX(Example!$A$7:$A$506,MATCH(L444,Example!$AI$7:$AI$506,0)))</f>
        <v/>
      </c>
      <c r="O444" s="34" t="str">
        <f aca="false">IF(L444&gt;$B$6,"",INDEX(Example!$AC$7:$AC$506,MATCH(L444,Example!$AI$7:$AI$506,0)))</f>
        <v/>
      </c>
      <c r="P444" s="35" t="str">
        <f aca="false">IF(L444&gt;$B$6,"",INDEX(Example!$AD$7:$AD$506,MATCH(L444,Example!$AI$7:$AI$506,0)))</f>
        <v/>
      </c>
      <c r="Q444" s="34" t="n">
        <f aca="false">IF(L444&gt;$B$6,Q443,Q443+O444)</f>
        <v>22057.5</v>
      </c>
      <c r="R444" s="34" t="str">
        <f aca="false">IF(L444&gt;$B$6,"",Q444-MAX($Q$5:Q444))</f>
        <v/>
      </c>
    </row>
    <row r="445" customFormat="false" ht="15" hidden="false" customHeight="false" outlineLevel="0" collapsed="false">
      <c r="L445" s="0" t="n">
        <v>440</v>
      </c>
      <c r="M445" s="37" t="str">
        <f aca="false">IF(L445&gt;$B$6,"",INDEX(Example!$P$7:$P$506,MATCH(L445,Example!$AI$7:$AI$506,0)))</f>
        <v/>
      </c>
      <c r="N445" s="0" t="str">
        <f aca="false">IF(L445&gt;$B$6,"",INDEX(Example!$A$7:$A$506,MATCH(L445,Example!$AI$7:$AI$506,0)))</f>
        <v/>
      </c>
      <c r="O445" s="34" t="str">
        <f aca="false">IF(L445&gt;$B$6,"",INDEX(Example!$AC$7:$AC$506,MATCH(L445,Example!$AI$7:$AI$506,0)))</f>
        <v/>
      </c>
      <c r="P445" s="35" t="str">
        <f aca="false">IF(L445&gt;$B$6,"",INDEX(Example!$AD$7:$AD$506,MATCH(L445,Example!$AI$7:$AI$506,0)))</f>
        <v/>
      </c>
      <c r="Q445" s="34" t="n">
        <f aca="false">IF(L445&gt;$B$6,Q444,Q444+O445)</f>
        <v>22057.5</v>
      </c>
      <c r="R445" s="34" t="str">
        <f aca="false">IF(L445&gt;$B$6,"",Q445-MAX($Q$5:Q445))</f>
        <v/>
      </c>
    </row>
    <row r="446" customFormat="false" ht="15" hidden="false" customHeight="false" outlineLevel="0" collapsed="false">
      <c r="L446" s="0" t="n">
        <v>441</v>
      </c>
      <c r="M446" s="37" t="str">
        <f aca="false">IF(L446&gt;$B$6,"",INDEX(Example!$P$7:$P$506,MATCH(L446,Example!$AI$7:$AI$506,0)))</f>
        <v/>
      </c>
      <c r="N446" s="0" t="str">
        <f aca="false">IF(L446&gt;$B$6,"",INDEX(Example!$A$7:$A$506,MATCH(L446,Example!$AI$7:$AI$506,0)))</f>
        <v/>
      </c>
      <c r="O446" s="34" t="str">
        <f aca="false">IF(L446&gt;$B$6,"",INDEX(Example!$AC$7:$AC$506,MATCH(L446,Example!$AI$7:$AI$506,0)))</f>
        <v/>
      </c>
      <c r="P446" s="35" t="str">
        <f aca="false">IF(L446&gt;$B$6,"",INDEX(Example!$AD$7:$AD$506,MATCH(L446,Example!$AI$7:$AI$506,0)))</f>
        <v/>
      </c>
      <c r="Q446" s="34" t="n">
        <f aca="false">IF(L446&gt;$B$6,Q445,Q445+O446)</f>
        <v>22057.5</v>
      </c>
      <c r="R446" s="34" t="str">
        <f aca="false">IF(L446&gt;$B$6,"",Q446-MAX($Q$5:Q446))</f>
        <v/>
      </c>
    </row>
    <row r="447" customFormat="false" ht="15" hidden="false" customHeight="false" outlineLevel="0" collapsed="false">
      <c r="L447" s="0" t="n">
        <v>442</v>
      </c>
      <c r="M447" s="37" t="str">
        <f aca="false">IF(L447&gt;$B$6,"",INDEX(Example!$P$7:$P$506,MATCH(L447,Example!$AI$7:$AI$506,0)))</f>
        <v/>
      </c>
      <c r="N447" s="0" t="str">
        <f aca="false">IF(L447&gt;$B$6,"",INDEX(Example!$A$7:$A$506,MATCH(L447,Example!$AI$7:$AI$506,0)))</f>
        <v/>
      </c>
      <c r="O447" s="34" t="str">
        <f aca="false">IF(L447&gt;$B$6,"",INDEX(Example!$AC$7:$AC$506,MATCH(L447,Example!$AI$7:$AI$506,0)))</f>
        <v/>
      </c>
      <c r="P447" s="35" t="str">
        <f aca="false">IF(L447&gt;$B$6,"",INDEX(Example!$AD$7:$AD$506,MATCH(L447,Example!$AI$7:$AI$506,0)))</f>
        <v/>
      </c>
      <c r="Q447" s="34" t="n">
        <f aca="false">IF(L447&gt;$B$6,Q446,Q446+O447)</f>
        <v>22057.5</v>
      </c>
      <c r="R447" s="34" t="str">
        <f aca="false">IF(L447&gt;$B$6,"",Q447-MAX($Q$5:Q447))</f>
        <v/>
      </c>
    </row>
    <row r="448" customFormat="false" ht="15" hidden="false" customHeight="false" outlineLevel="0" collapsed="false">
      <c r="L448" s="0" t="n">
        <v>443</v>
      </c>
      <c r="M448" s="37" t="str">
        <f aca="false">IF(L448&gt;$B$6,"",INDEX(Example!$P$7:$P$506,MATCH(L448,Example!$AI$7:$AI$506,0)))</f>
        <v/>
      </c>
      <c r="N448" s="0" t="str">
        <f aca="false">IF(L448&gt;$B$6,"",INDEX(Example!$A$7:$A$506,MATCH(L448,Example!$AI$7:$AI$506,0)))</f>
        <v/>
      </c>
      <c r="O448" s="34" t="str">
        <f aca="false">IF(L448&gt;$B$6,"",INDEX(Example!$AC$7:$AC$506,MATCH(L448,Example!$AI$7:$AI$506,0)))</f>
        <v/>
      </c>
      <c r="P448" s="35" t="str">
        <f aca="false">IF(L448&gt;$B$6,"",INDEX(Example!$AD$7:$AD$506,MATCH(L448,Example!$AI$7:$AI$506,0)))</f>
        <v/>
      </c>
      <c r="Q448" s="34" t="n">
        <f aca="false">IF(L448&gt;$B$6,Q447,Q447+O448)</f>
        <v>22057.5</v>
      </c>
      <c r="R448" s="34" t="str">
        <f aca="false">IF(L448&gt;$B$6,"",Q448-MAX($Q$5:Q448))</f>
        <v/>
      </c>
    </row>
    <row r="449" customFormat="false" ht="15" hidden="false" customHeight="false" outlineLevel="0" collapsed="false">
      <c r="L449" s="0" t="n">
        <v>444</v>
      </c>
      <c r="M449" s="37" t="str">
        <f aca="false">IF(L449&gt;$B$6,"",INDEX(Example!$P$7:$P$506,MATCH(L449,Example!$AI$7:$AI$506,0)))</f>
        <v/>
      </c>
      <c r="N449" s="0" t="str">
        <f aca="false">IF(L449&gt;$B$6,"",INDEX(Example!$A$7:$A$506,MATCH(L449,Example!$AI$7:$AI$506,0)))</f>
        <v/>
      </c>
      <c r="O449" s="34" t="str">
        <f aca="false">IF(L449&gt;$B$6,"",INDEX(Example!$AC$7:$AC$506,MATCH(L449,Example!$AI$7:$AI$506,0)))</f>
        <v/>
      </c>
      <c r="P449" s="35" t="str">
        <f aca="false">IF(L449&gt;$B$6,"",INDEX(Example!$AD$7:$AD$506,MATCH(L449,Example!$AI$7:$AI$506,0)))</f>
        <v/>
      </c>
      <c r="Q449" s="34" t="n">
        <f aca="false">IF(L449&gt;$B$6,Q448,Q448+O449)</f>
        <v>22057.5</v>
      </c>
      <c r="R449" s="34" t="str">
        <f aca="false">IF(L449&gt;$B$6,"",Q449-MAX($Q$5:Q449))</f>
        <v/>
      </c>
    </row>
    <row r="450" customFormat="false" ht="15" hidden="false" customHeight="false" outlineLevel="0" collapsed="false">
      <c r="L450" s="0" t="n">
        <v>445</v>
      </c>
      <c r="M450" s="37" t="str">
        <f aca="false">IF(L450&gt;$B$6,"",INDEX(Example!$P$7:$P$506,MATCH(L450,Example!$AI$7:$AI$506,0)))</f>
        <v/>
      </c>
      <c r="N450" s="0" t="str">
        <f aca="false">IF(L450&gt;$B$6,"",INDEX(Example!$A$7:$A$506,MATCH(L450,Example!$AI$7:$AI$506,0)))</f>
        <v/>
      </c>
      <c r="O450" s="34" t="str">
        <f aca="false">IF(L450&gt;$B$6,"",INDEX(Example!$AC$7:$AC$506,MATCH(L450,Example!$AI$7:$AI$506,0)))</f>
        <v/>
      </c>
      <c r="P450" s="35" t="str">
        <f aca="false">IF(L450&gt;$B$6,"",INDEX(Example!$AD$7:$AD$506,MATCH(L450,Example!$AI$7:$AI$506,0)))</f>
        <v/>
      </c>
      <c r="Q450" s="34" t="n">
        <f aca="false">IF(L450&gt;$B$6,Q449,Q449+O450)</f>
        <v>22057.5</v>
      </c>
      <c r="R450" s="34" t="str">
        <f aca="false">IF(L450&gt;$B$6,"",Q450-MAX($Q$5:Q450))</f>
        <v/>
      </c>
    </row>
    <row r="451" customFormat="false" ht="15" hidden="false" customHeight="false" outlineLevel="0" collapsed="false">
      <c r="L451" s="0" t="n">
        <v>446</v>
      </c>
      <c r="M451" s="37" t="str">
        <f aca="false">IF(L451&gt;$B$6,"",INDEX(Example!$P$7:$P$506,MATCH(L451,Example!$AI$7:$AI$506,0)))</f>
        <v/>
      </c>
      <c r="N451" s="0" t="str">
        <f aca="false">IF(L451&gt;$B$6,"",INDEX(Example!$A$7:$A$506,MATCH(L451,Example!$AI$7:$AI$506,0)))</f>
        <v/>
      </c>
      <c r="O451" s="34" t="str">
        <f aca="false">IF(L451&gt;$B$6,"",INDEX(Example!$AC$7:$AC$506,MATCH(L451,Example!$AI$7:$AI$506,0)))</f>
        <v/>
      </c>
      <c r="P451" s="35" t="str">
        <f aca="false">IF(L451&gt;$B$6,"",INDEX(Example!$AD$7:$AD$506,MATCH(L451,Example!$AI$7:$AI$506,0)))</f>
        <v/>
      </c>
      <c r="Q451" s="34" t="n">
        <f aca="false">IF(L451&gt;$B$6,Q450,Q450+O451)</f>
        <v>22057.5</v>
      </c>
      <c r="R451" s="34" t="str">
        <f aca="false">IF(L451&gt;$B$6,"",Q451-MAX($Q$5:Q451))</f>
        <v/>
      </c>
    </row>
    <row r="452" customFormat="false" ht="15" hidden="false" customHeight="false" outlineLevel="0" collapsed="false">
      <c r="L452" s="0" t="n">
        <v>447</v>
      </c>
      <c r="M452" s="37" t="str">
        <f aca="false">IF(L452&gt;$B$6,"",INDEX(Example!$P$7:$P$506,MATCH(L452,Example!$AI$7:$AI$506,0)))</f>
        <v/>
      </c>
      <c r="N452" s="0" t="str">
        <f aca="false">IF(L452&gt;$B$6,"",INDEX(Example!$A$7:$A$506,MATCH(L452,Example!$AI$7:$AI$506,0)))</f>
        <v/>
      </c>
      <c r="O452" s="34" t="str">
        <f aca="false">IF(L452&gt;$B$6,"",INDEX(Example!$AC$7:$AC$506,MATCH(L452,Example!$AI$7:$AI$506,0)))</f>
        <v/>
      </c>
      <c r="P452" s="35" t="str">
        <f aca="false">IF(L452&gt;$B$6,"",INDEX(Example!$AD$7:$AD$506,MATCH(L452,Example!$AI$7:$AI$506,0)))</f>
        <v/>
      </c>
      <c r="Q452" s="34" t="n">
        <f aca="false">IF(L452&gt;$B$6,Q451,Q451+O452)</f>
        <v>22057.5</v>
      </c>
      <c r="R452" s="34" t="str">
        <f aca="false">IF(L452&gt;$B$6,"",Q452-MAX($Q$5:Q452))</f>
        <v/>
      </c>
    </row>
    <row r="453" customFormat="false" ht="15" hidden="false" customHeight="false" outlineLevel="0" collapsed="false">
      <c r="L453" s="0" t="n">
        <v>448</v>
      </c>
      <c r="M453" s="37" t="str">
        <f aca="false">IF(L453&gt;$B$6,"",INDEX(Example!$P$7:$P$506,MATCH(L453,Example!$AI$7:$AI$506,0)))</f>
        <v/>
      </c>
      <c r="N453" s="0" t="str">
        <f aca="false">IF(L453&gt;$B$6,"",INDEX(Example!$A$7:$A$506,MATCH(L453,Example!$AI$7:$AI$506,0)))</f>
        <v/>
      </c>
      <c r="O453" s="34" t="str">
        <f aca="false">IF(L453&gt;$B$6,"",INDEX(Example!$AC$7:$AC$506,MATCH(L453,Example!$AI$7:$AI$506,0)))</f>
        <v/>
      </c>
      <c r="P453" s="35" t="str">
        <f aca="false">IF(L453&gt;$B$6,"",INDEX(Example!$AD$7:$AD$506,MATCH(L453,Example!$AI$7:$AI$506,0)))</f>
        <v/>
      </c>
      <c r="Q453" s="34" t="n">
        <f aca="false">IF(L453&gt;$B$6,Q452,Q452+O453)</f>
        <v>22057.5</v>
      </c>
      <c r="R453" s="34" t="str">
        <f aca="false">IF(L453&gt;$B$6,"",Q453-MAX($Q$5:Q453))</f>
        <v/>
      </c>
    </row>
    <row r="454" customFormat="false" ht="15" hidden="false" customHeight="false" outlineLevel="0" collapsed="false">
      <c r="L454" s="0" t="n">
        <v>449</v>
      </c>
      <c r="M454" s="37" t="str">
        <f aca="false">IF(L454&gt;$B$6,"",INDEX(Example!$P$7:$P$506,MATCH(L454,Example!$AI$7:$AI$506,0)))</f>
        <v/>
      </c>
      <c r="N454" s="0" t="str">
        <f aca="false">IF(L454&gt;$B$6,"",INDEX(Example!$A$7:$A$506,MATCH(L454,Example!$AI$7:$AI$506,0)))</f>
        <v/>
      </c>
      <c r="O454" s="34" t="str">
        <f aca="false">IF(L454&gt;$B$6,"",INDEX(Example!$AC$7:$AC$506,MATCH(L454,Example!$AI$7:$AI$506,0)))</f>
        <v/>
      </c>
      <c r="P454" s="35" t="str">
        <f aca="false">IF(L454&gt;$B$6,"",INDEX(Example!$AD$7:$AD$506,MATCH(L454,Example!$AI$7:$AI$506,0)))</f>
        <v/>
      </c>
      <c r="Q454" s="34" t="n">
        <f aca="false">IF(L454&gt;$B$6,Q453,Q453+O454)</f>
        <v>22057.5</v>
      </c>
      <c r="R454" s="34" t="str">
        <f aca="false">IF(L454&gt;$B$6,"",Q454-MAX($Q$5:Q454))</f>
        <v/>
      </c>
    </row>
    <row r="455" customFormat="false" ht="15" hidden="false" customHeight="false" outlineLevel="0" collapsed="false">
      <c r="L455" s="0" t="n">
        <v>450</v>
      </c>
      <c r="M455" s="37" t="str">
        <f aca="false">IF(L455&gt;$B$6,"",INDEX(Example!$P$7:$P$506,MATCH(L455,Example!$AI$7:$AI$506,0)))</f>
        <v/>
      </c>
      <c r="N455" s="0" t="str">
        <f aca="false">IF(L455&gt;$B$6,"",INDEX(Example!$A$7:$A$506,MATCH(L455,Example!$AI$7:$AI$506,0)))</f>
        <v/>
      </c>
      <c r="O455" s="34" t="str">
        <f aca="false">IF(L455&gt;$B$6,"",INDEX(Example!$AC$7:$AC$506,MATCH(L455,Example!$AI$7:$AI$506,0)))</f>
        <v/>
      </c>
      <c r="P455" s="35" t="str">
        <f aca="false">IF(L455&gt;$B$6,"",INDEX(Example!$AD$7:$AD$506,MATCH(L455,Example!$AI$7:$AI$506,0)))</f>
        <v/>
      </c>
      <c r="Q455" s="34" t="n">
        <f aca="false">IF(L455&gt;$B$6,Q454,Q454+O455)</f>
        <v>22057.5</v>
      </c>
      <c r="R455" s="34" t="str">
        <f aca="false">IF(L455&gt;$B$6,"",Q455-MAX($Q$5:Q455))</f>
        <v/>
      </c>
    </row>
    <row r="456" customFormat="false" ht="15" hidden="false" customHeight="false" outlineLevel="0" collapsed="false">
      <c r="L456" s="0" t="n">
        <v>451</v>
      </c>
      <c r="M456" s="37" t="str">
        <f aca="false">IF(L456&gt;$B$6,"",INDEX(Example!$P$7:$P$506,MATCH(L456,Example!$AI$7:$AI$506,0)))</f>
        <v/>
      </c>
      <c r="N456" s="0" t="str">
        <f aca="false">IF(L456&gt;$B$6,"",INDEX(Example!$A$7:$A$506,MATCH(L456,Example!$AI$7:$AI$506,0)))</f>
        <v/>
      </c>
      <c r="O456" s="34" t="str">
        <f aca="false">IF(L456&gt;$B$6,"",INDEX(Example!$AC$7:$AC$506,MATCH(L456,Example!$AI$7:$AI$506,0)))</f>
        <v/>
      </c>
      <c r="P456" s="35" t="str">
        <f aca="false">IF(L456&gt;$B$6,"",INDEX(Example!$AD$7:$AD$506,MATCH(L456,Example!$AI$7:$AI$506,0)))</f>
        <v/>
      </c>
      <c r="Q456" s="34" t="n">
        <f aca="false">IF(L456&gt;$B$6,Q455,Q455+O456)</f>
        <v>22057.5</v>
      </c>
      <c r="R456" s="34" t="str">
        <f aca="false">IF(L456&gt;$B$6,"",Q456-MAX($Q$5:Q456))</f>
        <v/>
      </c>
    </row>
    <row r="457" customFormat="false" ht="15" hidden="false" customHeight="false" outlineLevel="0" collapsed="false">
      <c r="L457" s="0" t="n">
        <v>452</v>
      </c>
      <c r="M457" s="37" t="str">
        <f aca="false">IF(L457&gt;$B$6,"",INDEX(Example!$P$7:$P$506,MATCH(L457,Example!$AI$7:$AI$506,0)))</f>
        <v/>
      </c>
      <c r="N457" s="0" t="str">
        <f aca="false">IF(L457&gt;$B$6,"",INDEX(Example!$A$7:$A$506,MATCH(L457,Example!$AI$7:$AI$506,0)))</f>
        <v/>
      </c>
      <c r="O457" s="34" t="str">
        <f aca="false">IF(L457&gt;$B$6,"",INDEX(Example!$AC$7:$AC$506,MATCH(L457,Example!$AI$7:$AI$506,0)))</f>
        <v/>
      </c>
      <c r="P457" s="35" t="str">
        <f aca="false">IF(L457&gt;$B$6,"",INDEX(Example!$AD$7:$AD$506,MATCH(L457,Example!$AI$7:$AI$506,0)))</f>
        <v/>
      </c>
      <c r="Q457" s="34" t="n">
        <f aca="false">IF(L457&gt;$B$6,Q456,Q456+O457)</f>
        <v>22057.5</v>
      </c>
      <c r="R457" s="34" t="str">
        <f aca="false">IF(L457&gt;$B$6,"",Q457-MAX($Q$5:Q457))</f>
        <v/>
      </c>
    </row>
    <row r="458" customFormat="false" ht="15" hidden="false" customHeight="false" outlineLevel="0" collapsed="false">
      <c r="L458" s="0" t="n">
        <v>453</v>
      </c>
      <c r="M458" s="37" t="str">
        <f aca="false">IF(L458&gt;$B$6,"",INDEX(Example!$P$7:$P$506,MATCH(L458,Example!$AI$7:$AI$506,0)))</f>
        <v/>
      </c>
      <c r="N458" s="0" t="str">
        <f aca="false">IF(L458&gt;$B$6,"",INDEX(Example!$A$7:$A$506,MATCH(L458,Example!$AI$7:$AI$506,0)))</f>
        <v/>
      </c>
      <c r="O458" s="34" t="str">
        <f aca="false">IF(L458&gt;$B$6,"",INDEX(Example!$AC$7:$AC$506,MATCH(L458,Example!$AI$7:$AI$506,0)))</f>
        <v/>
      </c>
      <c r="P458" s="35" t="str">
        <f aca="false">IF(L458&gt;$B$6,"",INDEX(Example!$AD$7:$AD$506,MATCH(L458,Example!$AI$7:$AI$506,0)))</f>
        <v/>
      </c>
      <c r="Q458" s="34" t="n">
        <f aca="false">IF(L458&gt;$B$6,Q457,Q457+O458)</f>
        <v>22057.5</v>
      </c>
      <c r="R458" s="34" t="str">
        <f aca="false">IF(L458&gt;$B$6,"",Q458-MAX($Q$5:Q458))</f>
        <v/>
      </c>
    </row>
    <row r="459" customFormat="false" ht="15" hidden="false" customHeight="false" outlineLevel="0" collapsed="false">
      <c r="L459" s="0" t="n">
        <v>454</v>
      </c>
      <c r="M459" s="37" t="str">
        <f aca="false">IF(L459&gt;$B$6,"",INDEX(Example!$P$7:$P$506,MATCH(L459,Example!$AI$7:$AI$506,0)))</f>
        <v/>
      </c>
      <c r="N459" s="0" t="str">
        <f aca="false">IF(L459&gt;$B$6,"",INDEX(Example!$A$7:$A$506,MATCH(L459,Example!$AI$7:$AI$506,0)))</f>
        <v/>
      </c>
      <c r="O459" s="34" t="str">
        <f aca="false">IF(L459&gt;$B$6,"",INDEX(Example!$AC$7:$AC$506,MATCH(L459,Example!$AI$7:$AI$506,0)))</f>
        <v/>
      </c>
      <c r="P459" s="35" t="str">
        <f aca="false">IF(L459&gt;$B$6,"",INDEX(Example!$AD$7:$AD$506,MATCH(L459,Example!$AI$7:$AI$506,0)))</f>
        <v/>
      </c>
      <c r="Q459" s="34" t="n">
        <f aca="false">IF(L459&gt;$B$6,Q458,Q458+O459)</f>
        <v>22057.5</v>
      </c>
      <c r="R459" s="34" t="str">
        <f aca="false">IF(L459&gt;$B$6,"",Q459-MAX($Q$5:Q459))</f>
        <v/>
      </c>
    </row>
    <row r="460" customFormat="false" ht="15" hidden="false" customHeight="false" outlineLevel="0" collapsed="false">
      <c r="L460" s="0" t="n">
        <v>455</v>
      </c>
      <c r="M460" s="37" t="str">
        <f aca="false">IF(L460&gt;$B$6,"",INDEX(Example!$P$7:$P$506,MATCH(L460,Example!$AI$7:$AI$506,0)))</f>
        <v/>
      </c>
      <c r="N460" s="0" t="str">
        <f aca="false">IF(L460&gt;$B$6,"",INDEX(Example!$A$7:$A$506,MATCH(L460,Example!$AI$7:$AI$506,0)))</f>
        <v/>
      </c>
      <c r="O460" s="34" t="str">
        <f aca="false">IF(L460&gt;$B$6,"",INDEX(Example!$AC$7:$AC$506,MATCH(L460,Example!$AI$7:$AI$506,0)))</f>
        <v/>
      </c>
      <c r="P460" s="35" t="str">
        <f aca="false">IF(L460&gt;$B$6,"",INDEX(Example!$AD$7:$AD$506,MATCH(L460,Example!$AI$7:$AI$506,0)))</f>
        <v/>
      </c>
      <c r="Q460" s="34" t="n">
        <f aca="false">IF(L460&gt;$B$6,Q459,Q459+O460)</f>
        <v>22057.5</v>
      </c>
      <c r="R460" s="34" t="str">
        <f aca="false">IF(L460&gt;$B$6,"",Q460-MAX($Q$5:Q460))</f>
        <v/>
      </c>
    </row>
    <row r="461" customFormat="false" ht="15" hidden="false" customHeight="false" outlineLevel="0" collapsed="false">
      <c r="L461" s="0" t="n">
        <v>456</v>
      </c>
      <c r="M461" s="37" t="str">
        <f aca="false">IF(L461&gt;$B$6,"",INDEX(Example!$P$7:$P$506,MATCH(L461,Example!$AI$7:$AI$506,0)))</f>
        <v/>
      </c>
      <c r="N461" s="0" t="str">
        <f aca="false">IF(L461&gt;$B$6,"",INDEX(Example!$A$7:$A$506,MATCH(L461,Example!$AI$7:$AI$506,0)))</f>
        <v/>
      </c>
      <c r="O461" s="34" t="str">
        <f aca="false">IF(L461&gt;$B$6,"",INDEX(Example!$AC$7:$AC$506,MATCH(L461,Example!$AI$7:$AI$506,0)))</f>
        <v/>
      </c>
      <c r="P461" s="35" t="str">
        <f aca="false">IF(L461&gt;$B$6,"",INDEX(Example!$AD$7:$AD$506,MATCH(L461,Example!$AI$7:$AI$506,0)))</f>
        <v/>
      </c>
      <c r="Q461" s="34" t="n">
        <f aca="false">IF(L461&gt;$B$6,Q460,Q460+O461)</f>
        <v>22057.5</v>
      </c>
      <c r="R461" s="34" t="str">
        <f aca="false">IF(L461&gt;$B$6,"",Q461-MAX($Q$5:Q461))</f>
        <v/>
      </c>
    </row>
    <row r="462" customFormat="false" ht="15" hidden="false" customHeight="false" outlineLevel="0" collapsed="false">
      <c r="L462" s="0" t="n">
        <v>457</v>
      </c>
      <c r="M462" s="37" t="str">
        <f aca="false">IF(L462&gt;$B$6,"",INDEX(Example!$P$7:$P$506,MATCH(L462,Example!$AI$7:$AI$506,0)))</f>
        <v/>
      </c>
      <c r="N462" s="0" t="str">
        <f aca="false">IF(L462&gt;$B$6,"",INDEX(Example!$A$7:$A$506,MATCH(L462,Example!$AI$7:$AI$506,0)))</f>
        <v/>
      </c>
      <c r="O462" s="34" t="str">
        <f aca="false">IF(L462&gt;$B$6,"",INDEX(Example!$AC$7:$AC$506,MATCH(L462,Example!$AI$7:$AI$506,0)))</f>
        <v/>
      </c>
      <c r="P462" s="35" t="str">
        <f aca="false">IF(L462&gt;$B$6,"",INDEX(Example!$AD$7:$AD$506,MATCH(L462,Example!$AI$7:$AI$506,0)))</f>
        <v/>
      </c>
      <c r="Q462" s="34" t="n">
        <f aca="false">IF(L462&gt;$B$6,Q461,Q461+O462)</f>
        <v>22057.5</v>
      </c>
      <c r="R462" s="34" t="str">
        <f aca="false">IF(L462&gt;$B$6,"",Q462-MAX($Q$5:Q462))</f>
        <v/>
      </c>
    </row>
    <row r="463" customFormat="false" ht="15" hidden="false" customHeight="false" outlineLevel="0" collapsed="false">
      <c r="L463" s="0" t="n">
        <v>458</v>
      </c>
      <c r="M463" s="37" t="str">
        <f aca="false">IF(L463&gt;$B$6,"",INDEX(Example!$P$7:$P$506,MATCH(L463,Example!$AI$7:$AI$506,0)))</f>
        <v/>
      </c>
      <c r="N463" s="0" t="str">
        <f aca="false">IF(L463&gt;$B$6,"",INDEX(Example!$A$7:$A$506,MATCH(L463,Example!$AI$7:$AI$506,0)))</f>
        <v/>
      </c>
      <c r="O463" s="34" t="str">
        <f aca="false">IF(L463&gt;$B$6,"",INDEX(Example!$AC$7:$AC$506,MATCH(L463,Example!$AI$7:$AI$506,0)))</f>
        <v/>
      </c>
      <c r="P463" s="35" t="str">
        <f aca="false">IF(L463&gt;$B$6,"",INDEX(Example!$AD$7:$AD$506,MATCH(L463,Example!$AI$7:$AI$506,0)))</f>
        <v/>
      </c>
      <c r="Q463" s="34" t="n">
        <f aca="false">IF(L463&gt;$B$6,Q462,Q462+O463)</f>
        <v>22057.5</v>
      </c>
      <c r="R463" s="34" t="str">
        <f aca="false">IF(L463&gt;$B$6,"",Q463-MAX($Q$5:Q463))</f>
        <v/>
      </c>
    </row>
    <row r="464" customFormat="false" ht="15" hidden="false" customHeight="false" outlineLevel="0" collapsed="false">
      <c r="L464" s="0" t="n">
        <v>459</v>
      </c>
      <c r="M464" s="37" t="str">
        <f aca="false">IF(L464&gt;$B$6,"",INDEX(Example!$P$7:$P$506,MATCH(L464,Example!$AI$7:$AI$506,0)))</f>
        <v/>
      </c>
      <c r="N464" s="0" t="str">
        <f aca="false">IF(L464&gt;$B$6,"",INDEX(Example!$A$7:$A$506,MATCH(L464,Example!$AI$7:$AI$506,0)))</f>
        <v/>
      </c>
      <c r="O464" s="34" t="str">
        <f aca="false">IF(L464&gt;$B$6,"",INDEX(Example!$AC$7:$AC$506,MATCH(L464,Example!$AI$7:$AI$506,0)))</f>
        <v/>
      </c>
      <c r="P464" s="35" t="str">
        <f aca="false">IF(L464&gt;$B$6,"",INDEX(Example!$AD$7:$AD$506,MATCH(L464,Example!$AI$7:$AI$506,0)))</f>
        <v/>
      </c>
      <c r="Q464" s="34" t="n">
        <f aca="false">IF(L464&gt;$B$6,Q463,Q463+O464)</f>
        <v>22057.5</v>
      </c>
      <c r="R464" s="34" t="str">
        <f aca="false">IF(L464&gt;$B$6,"",Q464-MAX($Q$5:Q464))</f>
        <v/>
      </c>
    </row>
    <row r="465" customFormat="false" ht="15" hidden="false" customHeight="false" outlineLevel="0" collapsed="false">
      <c r="L465" s="0" t="n">
        <v>460</v>
      </c>
      <c r="M465" s="37" t="str">
        <f aca="false">IF(L465&gt;$B$6,"",INDEX(Example!$P$7:$P$506,MATCH(L465,Example!$AI$7:$AI$506,0)))</f>
        <v/>
      </c>
      <c r="N465" s="0" t="str">
        <f aca="false">IF(L465&gt;$B$6,"",INDEX(Example!$A$7:$A$506,MATCH(L465,Example!$AI$7:$AI$506,0)))</f>
        <v/>
      </c>
      <c r="O465" s="34" t="str">
        <f aca="false">IF(L465&gt;$B$6,"",INDEX(Example!$AC$7:$AC$506,MATCH(L465,Example!$AI$7:$AI$506,0)))</f>
        <v/>
      </c>
      <c r="P465" s="35" t="str">
        <f aca="false">IF(L465&gt;$B$6,"",INDEX(Example!$AD$7:$AD$506,MATCH(L465,Example!$AI$7:$AI$506,0)))</f>
        <v/>
      </c>
      <c r="Q465" s="34" t="n">
        <f aca="false">IF(L465&gt;$B$6,Q464,Q464+O465)</f>
        <v>22057.5</v>
      </c>
      <c r="R465" s="34" t="str">
        <f aca="false">IF(L465&gt;$B$6,"",Q465-MAX($Q$5:Q465))</f>
        <v/>
      </c>
    </row>
    <row r="466" customFormat="false" ht="15" hidden="false" customHeight="false" outlineLevel="0" collapsed="false">
      <c r="L466" s="0" t="n">
        <v>461</v>
      </c>
      <c r="M466" s="37" t="str">
        <f aca="false">IF(L466&gt;$B$6,"",INDEX(Example!$P$7:$P$506,MATCH(L466,Example!$AI$7:$AI$506,0)))</f>
        <v/>
      </c>
      <c r="N466" s="0" t="str">
        <f aca="false">IF(L466&gt;$B$6,"",INDEX(Example!$A$7:$A$506,MATCH(L466,Example!$AI$7:$AI$506,0)))</f>
        <v/>
      </c>
      <c r="O466" s="34" t="str">
        <f aca="false">IF(L466&gt;$B$6,"",INDEX(Example!$AC$7:$AC$506,MATCH(L466,Example!$AI$7:$AI$506,0)))</f>
        <v/>
      </c>
      <c r="P466" s="35" t="str">
        <f aca="false">IF(L466&gt;$B$6,"",INDEX(Example!$AD$7:$AD$506,MATCH(L466,Example!$AI$7:$AI$506,0)))</f>
        <v/>
      </c>
      <c r="Q466" s="34" t="n">
        <f aca="false">IF(L466&gt;$B$6,Q465,Q465+O466)</f>
        <v>22057.5</v>
      </c>
      <c r="R466" s="34" t="str">
        <f aca="false">IF(L466&gt;$B$6,"",Q466-MAX($Q$5:Q466))</f>
        <v/>
      </c>
    </row>
    <row r="467" customFormat="false" ht="15" hidden="false" customHeight="false" outlineLevel="0" collapsed="false">
      <c r="L467" s="0" t="n">
        <v>462</v>
      </c>
      <c r="M467" s="37" t="str">
        <f aca="false">IF(L467&gt;$B$6,"",INDEX(Example!$P$7:$P$506,MATCH(L467,Example!$AI$7:$AI$506,0)))</f>
        <v/>
      </c>
      <c r="N467" s="0" t="str">
        <f aca="false">IF(L467&gt;$B$6,"",INDEX(Example!$A$7:$A$506,MATCH(L467,Example!$AI$7:$AI$506,0)))</f>
        <v/>
      </c>
      <c r="O467" s="34" t="str">
        <f aca="false">IF(L467&gt;$B$6,"",INDEX(Example!$AC$7:$AC$506,MATCH(L467,Example!$AI$7:$AI$506,0)))</f>
        <v/>
      </c>
      <c r="P467" s="35" t="str">
        <f aca="false">IF(L467&gt;$B$6,"",INDEX(Example!$AD$7:$AD$506,MATCH(L467,Example!$AI$7:$AI$506,0)))</f>
        <v/>
      </c>
      <c r="Q467" s="34" t="n">
        <f aca="false">IF(L467&gt;$B$6,Q466,Q466+O467)</f>
        <v>22057.5</v>
      </c>
      <c r="R467" s="34" t="str">
        <f aca="false">IF(L467&gt;$B$6,"",Q467-MAX($Q$5:Q467))</f>
        <v/>
      </c>
    </row>
    <row r="468" customFormat="false" ht="15" hidden="false" customHeight="false" outlineLevel="0" collapsed="false">
      <c r="L468" s="0" t="n">
        <v>463</v>
      </c>
      <c r="M468" s="37" t="str">
        <f aca="false">IF(L468&gt;$B$6,"",INDEX(Example!$P$7:$P$506,MATCH(L468,Example!$AI$7:$AI$506,0)))</f>
        <v/>
      </c>
      <c r="N468" s="0" t="str">
        <f aca="false">IF(L468&gt;$B$6,"",INDEX(Example!$A$7:$A$506,MATCH(L468,Example!$AI$7:$AI$506,0)))</f>
        <v/>
      </c>
      <c r="O468" s="34" t="str">
        <f aca="false">IF(L468&gt;$B$6,"",INDEX(Example!$AC$7:$AC$506,MATCH(L468,Example!$AI$7:$AI$506,0)))</f>
        <v/>
      </c>
      <c r="P468" s="35" t="str">
        <f aca="false">IF(L468&gt;$B$6,"",INDEX(Example!$AD$7:$AD$506,MATCH(L468,Example!$AI$7:$AI$506,0)))</f>
        <v/>
      </c>
      <c r="Q468" s="34" t="n">
        <f aca="false">IF(L468&gt;$B$6,Q467,Q467+O468)</f>
        <v>22057.5</v>
      </c>
      <c r="R468" s="34" t="str">
        <f aca="false">IF(L468&gt;$B$6,"",Q468-MAX($Q$5:Q468))</f>
        <v/>
      </c>
    </row>
    <row r="469" customFormat="false" ht="15" hidden="false" customHeight="false" outlineLevel="0" collapsed="false">
      <c r="L469" s="0" t="n">
        <v>464</v>
      </c>
      <c r="M469" s="37" t="str">
        <f aca="false">IF(L469&gt;$B$6,"",INDEX(Example!$P$7:$P$506,MATCH(L469,Example!$AI$7:$AI$506,0)))</f>
        <v/>
      </c>
      <c r="N469" s="0" t="str">
        <f aca="false">IF(L469&gt;$B$6,"",INDEX(Example!$A$7:$A$506,MATCH(L469,Example!$AI$7:$AI$506,0)))</f>
        <v/>
      </c>
      <c r="O469" s="34" t="str">
        <f aca="false">IF(L469&gt;$B$6,"",INDEX(Example!$AC$7:$AC$506,MATCH(L469,Example!$AI$7:$AI$506,0)))</f>
        <v/>
      </c>
      <c r="P469" s="35" t="str">
        <f aca="false">IF(L469&gt;$B$6,"",INDEX(Example!$AD$7:$AD$506,MATCH(L469,Example!$AI$7:$AI$506,0)))</f>
        <v/>
      </c>
      <c r="Q469" s="34" t="n">
        <f aca="false">IF(L469&gt;$B$6,Q468,Q468+O469)</f>
        <v>22057.5</v>
      </c>
      <c r="R469" s="34" t="str">
        <f aca="false">IF(L469&gt;$B$6,"",Q469-MAX($Q$5:Q469))</f>
        <v/>
      </c>
    </row>
    <row r="470" customFormat="false" ht="15" hidden="false" customHeight="false" outlineLevel="0" collapsed="false">
      <c r="L470" s="0" t="n">
        <v>465</v>
      </c>
      <c r="M470" s="37" t="str">
        <f aca="false">IF(L470&gt;$B$6,"",INDEX(Example!$P$7:$P$506,MATCH(L470,Example!$AI$7:$AI$506,0)))</f>
        <v/>
      </c>
      <c r="N470" s="0" t="str">
        <f aca="false">IF(L470&gt;$B$6,"",INDEX(Example!$A$7:$A$506,MATCH(L470,Example!$AI$7:$AI$506,0)))</f>
        <v/>
      </c>
      <c r="O470" s="34" t="str">
        <f aca="false">IF(L470&gt;$B$6,"",INDEX(Example!$AC$7:$AC$506,MATCH(L470,Example!$AI$7:$AI$506,0)))</f>
        <v/>
      </c>
      <c r="P470" s="35" t="str">
        <f aca="false">IF(L470&gt;$B$6,"",INDEX(Example!$AD$7:$AD$506,MATCH(L470,Example!$AI$7:$AI$506,0)))</f>
        <v/>
      </c>
      <c r="Q470" s="34" t="n">
        <f aca="false">IF(L470&gt;$B$6,Q469,Q469+O470)</f>
        <v>22057.5</v>
      </c>
      <c r="R470" s="34" t="str">
        <f aca="false">IF(L470&gt;$B$6,"",Q470-MAX($Q$5:Q470))</f>
        <v/>
      </c>
    </row>
    <row r="471" customFormat="false" ht="15" hidden="false" customHeight="false" outlineLevel="0" collapsed="false">
      <c r="L471" s="0" t="n">
        <v>466</v>
      </c>
      <c r="M471" s="37" t="str">
        <f aca="false">IF(L471&gt;$B$6,"",INDEX(Example!$P$7:$P$506,MATCH(L471,Example!$AI$7:$AI$506,0)))</f>
        <v/>
      </c>
      <c r="N471" s="0" t="str">
        <f aca="false">IF(L471&gt;$B$6,"",INDEX(Example!$A$7:$A$506,MATCH(L471,Example!$AI$7:$AI$506,0)))</f>
        <v/>
      </c>
      <c r="O471" s="34" t="str">
        <f aca="false">IF(L471&gt;$B$6,"",INDEX(Example!$AC$7:$AC$506,MATCH(L471,Example!$AI$7:$AI$506,0)))</f>
        <v/>
      </c>
      <c r="P471" s="35" t="str">
        <f aca="false">IF(L471&gt;$B$6,"",INDEX(Example!$AD$7:$AD$506,MATCH(L471,Example!$AI$7:$AI$506,0)))</f>
        <v/>
      </c>
      <c r="Q471" s="34" t="n">
        <f aca="false">IF(L471&gt;$B$6,Q470,Q470+O471)</f>
        <v>22057.5</v>
      </c>
      <c r="R471" s="34" t="str">
        <f aca="false">IF(L471&gt;$B$6,"",Q471-MAX($Q$5:Q471))</f>
        <v/>
      </c>
    </row>
    <row r="472" customFormat="false" ht="15" hidden="false" customHeight="false" outlineLevel="0" collapsed="false">
      <c r="L472" s="0" t="n">
        <v>467</v>
      </c>
      <c r="M472" s="37" t="str">
        <f aca="false">IF(L472&gt;$B$6,"",INDEX(Example!$P$7:$P$506,MATCH(L472,Example!$AI$7:$AI$506,0)))</f>
        <v/>
      </c>
      <c r="N472" s="0" t="str">
        <f aca="false">IF(L472&gt;$B$6,"",INDEX(Example!$A$7:$A$506,MATCH(L472,Example!$AI$7:$AI$506,0)))</f>
        <v/>
      </c>
      <c r="O472" s="34" t="str">
        <f aca="false">IF(L472&gt;$B$6,"",INDEX(Example!$AC$7:$AC$506,MATCH(L472,Example!$AI$7:$AI$506,0)))</f>
        <v/>
      </c>
      <c r="P472" s="35" t="str">
        <f aca="false">IF(L472&gt;$B$6,"",INDEX(Example!$AD$7:$AD$506,MATCH(L472,Example!$AI$7:$AI$506,0)))</f>
        <v/>
      </c>
      <c r="Q472" s="34" t="n">
        <f aca="false">IF(L472&gt;$B$6,Q471,Q471+O472)</f>
        <v>22057.5</v>
      </c>
      <c r="R472" s="34" t="str">
        <f aca="false">IF(L472&gt;$B$6,"",Q472-MAX($Q$5:Q472))</f>
        <v/>
      </c>
    </row>
    <row r="473" customFormat="false" ht="15" hidden="false" customHeight="false" outlineLevel="0" collapsed="false">
      <c r="L473" s="0" t="n">
        <v>468</v>
      </c>
      <c r="M473" s="37" t="str">
        <f aca="false">IF(L473&gt;$B$6,"",INDEX(Example!$P$7:$P$506,MATCH(L473,Example!$AI$7:$AI$506,0)))</f>
        <v/>
      </c>
      <c r="N473" s="0" t="str">
        <f aca="false">IF(L473&gt;$B$6,"",INDEX(Example!$A$7:$A$506,MATCH(L473,Example!$AI$7:$AI$506,0)))</f>
        <v/>
      </c>
      <c r="O473" s="34" t="str">
        <f aca="false">IF(L473&gt;$B$6,"",INDEX(Example!$AC$7:$AC$506,MATCH(L473,Example!$AI$7:$AI$506,0)))</f>
        <v/>
      </c>
      <c r="P473" s="35" t="str">
        <f aca="false">IF(L473&gt;$B$6,"",INDEX(Example!$AD$7:$AD$506,MATCH(L473,Example!$AI$7:$AI$506,0)))</f>
        <v/>
      </c>
      <c r="Q473" s="34" t="n">
        <f aca="false">IF(L473&gt;$B$6,Q472,Q472+O473)</f>
        <v>22057.5</v>
      </c>
      <c r="R473" s="34" t="str">
        <f aca="false">IF(L473&gt;$B$6,"",Q473-MAX($Q$5:Q473))</f>
        <v/>
      </c>
    </row>
    <row r="474" customFormat="false" ht="15" hidden="false" customHeight="false" outlineLevel="0" collapsed="false">
      <c r="L474" s="0" t="n">
        <v>469</v>
      </c>
      <c r="M474" s="37" t="str">
        <f aca="false">IF(L474&gt;$B$6,"",INDEX(Example!$P$7:$P$506,MATCH(L474,Example!$AI$7:$AI$506,0)))</f>
        <v/>
      </c>
      <c r="N474" s="0" t="str">
        <f aca="false">IF(L474&gt;$B$6,"",INDEX(Example!$A$7:$A$506,MATCH(L474,Example!$AI$7:$AI$506,0)))</f>
        <v/>
      </c>
      <c r="O474" s="34" t="str">
        <f aca="false">IF(L474&gt;$B$6,"",INDEX(Example!$AC$7:$AC$506,MATCH(L474,Example!$AI$7:$AI$506,0)))</f>
        <v/>
      </c>
      <c r="P474" s="35" t="str">
        <f aca="false">IF(L474&gt;$B$6,"",INDEX(Example!$AD$7:$AD$506,MATCH(L474,Example!$AI$7:$AI$506,0)))</f>
        <v/>
      </c>
      <c r="Q474" s="34" t="n">
        <f aca="false">IF(L474&gt;$B$6,Q473,Q473+O474)</f>
        <v>22057.5</v>
      </c>
      <c r="R474" s="34" t="str">
        <f aca="false">IF(L474&gt;$B$6,"",Q474-MAX($Q$5:Q474))</f>
        <v/>
      </c>
    </row>
    <row r="475" customFormat="false" ht="15" hidden="false" customHeight="false" outlineLevel="0" collapsed="false">
      <c r="L475" s="0" t="n">
        <v>470</v>
      </c>
      <c r="M475" s="37" t="str">
        <f aca="false">IF(L475&gt;$B$6,"",INDEX(Example!$P$7:$P$506,MATCH(L475,Example!$AI$7:$AI$506,0)))</f>
        <v/>
      </c>
      <c r="N475" s="0" t="str">
        <f aca="false">IF(L475&gt;$B$6,"",INDEX(Example!$A$7:$A$506,MATCH(L475,Example!$AI$7:$AI$506,0)))</f>
        <v/>
      </c>
      <c r="O475" s="34" t="str">
        <f aca="false">IF(L475&gt;$B$6,"",INDEX(Example!$AC$7:$AC$506,MATCH(L475,Example!$AI$7:$AI$506,0)))</f>
        <v/>
      </c>
      <c r="P475" s="35" t="str">
        <f aca="false">IF(L475&gt;$B$6,"",INDEX(Example!$AD$7:$AD$506,MATCH(L475,Example!$AI$7:$AI$506,0)))</f>
        <v/>
      </c>
      <c r="Q475" s="34" t="n">
        <f aca="false">IF(L475&gt;$B$6,Q474,Q474+O475)</f>
        <v>22057.5</v>
      </c>
      <c r="R475" s="34" t="str">
        <f aca="false">IF(L475&gt;$B$6,"",Q475-MAX($Q$5:Q475))</f>
        <v/>
      </c>
    </row>
    <row r="476" customFormat="false" ht="15" hidden="false" customHeight="false" outlineLevel="0" collapsed="false">
      <c r="L476" s="0" t="n">
        <v>471</v>
      </c>
      <c r="M476" s="37" t="str">
        <f aca="false">IF(L476&gt;$B$6,"",INDEX(Example!$P$7:$P$506,MATCH(L476,Example!$AI$7:$AI$506,0)))</f>
        <v/>
      </c>
      <c r="N476" s="0" t="str">
        <f aca="false">IF(L476&gt;$B$6,"",INDEX(Example!$A$7:$A$506,MATCH(L476,Example!$AI$7:$AI$506,0)))</f>
        <v/>
      </c>
      <c r="O476" s="34" t="str">
        <f aca="false">IF(L476&gt;$B$6,"",INDEX(Example!$AC$7:$AC$506,MATCH(L476,Example!$AI$7:$AI$506,0)))</f>
        <v/>
      </c>
      <c r="P476" s="35" t="str">
        <f aca="false">IF(L476&gt;$B$6,"",INDEX(Example!$AD$7:$AD$506,MATCH(L476,Example!$AI$7:$AI$506,0)))</f>
        <v/>
      </c>
      <c r="Q476" s="34" t="n">
        <f aca="false">IF(L476&gt;$B$6,Q475,Q475+O476)</f>
        <v>22057.5</v>
      </c>
      <c r="R476" s="34" t="str">
        <f aca="false">IF(L476&gt;$B$6,"",Q476-MAX($Q$5:Q476))</f>
        <v/>
      </c>
    </row>
    <row r="477" customFormat="false" ht="15" hidden="false" customHeight="false" outlineLevel="0" collapsed="false">
      <c r="L477" s="0" t="n">
        <v>472</v>
      </c>
      <c r="M477" s="37" t="str">
        <f aca="false">IF(L477&gt;$B$6,"",INDEX(Example!$P$7:$P$506,MATCH(L477,Example!$AI$7:$AI$506,0)))</f>
        <v/>
      </c>
      <c r="N477" s="0" t="str">
        <f aca="false">IF(L477&gt;$B$6,"",INDEX(Example!$A$7:$A$506,MATCH(L477,Example!$AI$7:$AI$506,0)))</f>
        <v/>
      </c>
      <c r="O477" s="34" t="str">
        <f aca="false">IF(L477&gt;$B$6,"",INDEX(Example!$AC$7:$AC$506,MATCH(L477,Example!$AI$7:$AI$506,0)))</f>
        <v/>
      </c>
      <c r="P477" s="35" t="str">
        <f aca="false">IF(L477&gt;$B$6,"",INDEX(Example!$AD$7:$AD$506,MATCH(L477,Example!$AI$7:$AI$506,0)))</f>
        <v/>
      </c>
      <c r="Q477" s="34" t="n">
        <f aca="false">IF(L477&gt;$B$6,Q476,Q476+O477)</f>
        <v>22057.5</v>
      </c>
      <c r="R477" s="34" t="str">
        <f aca="false">IF(L477&gt;$B$6,"",Q477-MAX($Q$5:Q477))</f>
        <v/>
      </c>
    </row>
    <row r="478" customFormat="false" ht="15" hidden="false" customHeight="false" outlineLevel="0" collapsed="false">
      <c r="L478" s="0" t="n">
        <v>473</v>
      </c>
      <c r="M478" s="37" t="str">
        <f aca="false">IF(L478&gt;$B$6,"",INDEX(Example!$P$7:$P$506,MATCH(L478,Example!$AI$7:$AI$506,0)))</f>
        <v/>
      </c>
      <c r="N478" s="0" t="str">
        <f aca="false">IF(L478&gt;$B$6,"",INDEX(Example!$A$7:$A$506,MATCH(L478,Example!$AI$7:$AI$506,0)))</f>
        <v/>
      </c>
      <c r="O478" s="34" t="str">
        <f aca="false">IF(L478&gt;$B$6,"",INDEX(Example!$AC$7:$AC$506,MATCH(L478,Example!$AI$7:$AI$506,0)))</f>
        <v/>
      </c>
      <c r="P478" s="35" t="str">
        <f aca="false">IF(L478&gt;$B$6,"",INDEX(Example!$AD$7:$AD$506,MATCH(L478,Example!$AI$7:$AI$506,0)))</f>
        <v/>
      </c>
      <c r="Q478" s="34" t="n">
        <f aca="false">IF(L478&gt;$B$6,Q477,Q477+O478)</f>
        <v>22057.5</v>
      </c>
      <c r="R478" s="34" t="str">
        <f aca="false">IF(L478&gt;$B$6,"",Q478-MAX($Q$5:Q478))</f>
        <v/>
      </c>
    </row>
    <row r="479" customFormat="false" ht="15" hidden="false" customHeight="false" outlineLevel="0" collapsed="false">
      <c r="L479" s="0" t="n">
        <v>474</v>
      </c>
      <c r="M479" s="37" t="str">
        <f aca="false">IF(L479&gt;$B$6,"",INDEX(Example!$P$7:$P$506,MATCH(L479,Example!$AI$7:$AI$506,0)))</f>
        <v/>
      </c>
      <c r="N479" s="0" t="str">
        <f aca="false">IF(L479&gt;$B$6,"",INDEX(Example!$A$7:$A$506,MATCH(L479,Example!$AI$7:$AI$506,0)))</f>
        <v/>
      </c>
      <c r="O479" s="34" t="str">
        <f aca="false">IF(L479&gt;$B$6,"",INDEX(Example!$AC$7:$AC$506,MATCH(L479,Example!$AI$7:$AI$506,0)))</f>
        <v/>
      </c>
      <c r="P479" s="35" t="str">
        <f aca="false">IF(L479&gt;$B$6,"",INDEX(Example!$AD$7:$AD$506,MATCH(L479,Example!$AI$7:$AI$506,0)))</f>
        <v/>
      </c>
      <c r="Q479" s="34" t="n">
        <f aca="false">IF(L479&gt;$B$6,Q478,Q478+O479)</f>
        <v>22057.5</v>
      </c>
      <c r="R479" s="34" t="str">
        <f aca="false">IF(L479&gt;$B$6,"",Q479-MAX($Q$5:Q479))</f>
        <v/>
      </c>
    </row>
    <row r="480" customFormat="false" ht="15" hidden="false" customHeight="false" outlineLevel="0" collapsed="false">
      <c r="L480" s="0" t="n">
        <v>475</v>
      </c>
      <c r="M480" s="37" t="str">
        <f aca="false">IF(L480&gt;$B$6,"",INDEX(Example!$P$7:$P$506,MATCH(L480,Example!$AI$7:$AI$506,0)))</f>
        <v/>
      </c>
      <c r="N480" s="0" t="str">
        <f aca="false">IF(L480&gt;$B$6,"",INDEX(Example!$A$7:$A$506,MATCH(L480,Example!$AI$7:$AI$506,0)))</f>
        <v/>
      </c>
      <c r="O480" s="34" t="str">
        <f aca="false">IF(L480&gt;$B$6,"",INDEX(Example!$AC$7:$AC$506,MATCH(L480,Example!$AI$7:$AI$506,0)))</f>
        <v/>
      </c>
      <c r="P480" s="35" t="str">
        <f aca="false">IF(L480&gt;$B$6,"",INDEX(Example!$AD$7:$AD$506,MATCH(L480,Example!$AI$7:$AI$506,0)))</f>
        <v/>
      </c>
      <c r="Q480" s="34" t="n">
        <f aca="false">IF(L480&gt;$B$6,Q479,Q479+O480)</f>
        <v>22057.5</v>
      </c>
      <c r="R480" s="34" t="str">
        <f aca="false">IF(L480&gt;$B$6,"",Q480-MAX($Q$5:Q480))</f>
        <v/>
      </c>
    </row>
    <row r="481" customFormat="false" ht="15" hidden="false" customHeight="false" outlineLevel="0" collapsed="false">
      <c r="L481" s="0" t="n">
        <v>476</v>
      </c>
      <c r="M481" s="37" t="str">
        <f aca="false">IF(L481&gt;$B$6,"",INDEX(Example!$P$7:$P$506,MATCH(L481,Example!$AI$7:$AI$506,0)))</f>
        <v/>
      </c>
      <c r="N481" s="0" t="str">
        <f aca="false">IF(L481&gt;$B$6,"",INDEX(Example!$A$7:$A$506,MATCH(L481,Example!$AI$7:$AI$506,0)))</f>
        <v/>
      </c>
      <c r="O481" s="34" t="str">
        <f aca="false">IF(L481&gt;$B$6,"",INDEX(Example!$AC$7:$AC$506,MATCH(L481,Example!$AI$7:$AI$506,0)))</f>
        <v/>
      </c>
      <c r="P481" s="35" t="str">
        <f aca="false">IF(L481&gt;$B$6,"",INDEX(Example!$AD$7:$AD$506,MATCH(L481,Example!$AI$7:$AI$506,0)))</f>
        <v/>
      </c>
      <c r="Q481" s="34" t="n">
        <f aca="false">IF(L481&gt;$B$6,Q480,Q480+O481)</f>
        <v>22057.5</v>
      </c>
      <c r="R481" s="34" t="str">
        <f aca="false">IF(L481&gt;$B$6,"",Q481-MAX($Q$5:Q481))</f>
        <v/>
      </c>
    </row>
    <row r="482" customFormat="false" ht="15" hidden="false" customHeight="false" outlineLevel="0" collapsed="false">
      <c r="L482" s="0" t="n">
        <v>477</v>
      </c>
      <c r="M482" s="37" t="str">
        <f aca="false">IF(L482&gt;$B$6,"",INDEX(Example!$P$7:$P$506,MATCH(L482,Example!$AI$7:$AI$506,0)))</f>
        <v/>
      </c>
      <c r="N482" s="0" t="str">
        <f aca="false">IF(L482&gt;$B$6,"",INDEX(Example!$A$7:$A$506,MATCH(L482,Example!$AI$7:$AI$506,0)))</f>
        <v/>
      </c>
      <c r="O482" s="34" t="str">
        <f aca="false">IF(L482&gt;$B$6,"",INDEX(Example!$AC$7:$AC$506,MATCH(L482,Example!$AI$7:$AI$506,0)))</f>
        <v/>
      </c>
      <c r="P482" s="35" t="str">
        <f aca="false">IF(L482&gt;$B$6,"",INDEX(Example!$AD$7:$AD$506,MATCH(L482,Example!$AI$7:$AI$506,0)))</f>
        <v/>
      </c>
      <c r="Q482" s="34" t="n">
        <f aca="false">IF(L482&gt;$B$6,Q481,Q481+O482)</f>
        <v>22057.5</v>
      </c>
      <c r="R482" s="34" t="str">
        <f aca="false">IF(L482&gt;$B$6,"",Q482-MAX($Q$5:Q482))</f>
        <v/>
      </c>
    </row>
    <row r="483" customFormat="false" ht="15" hidden="false" customHeight="false" outlineLevel="0" collapsed="false">
      <c r="L483" s="0" t="n">
        <v>478</v>
      </c>
      <c r="M483" s="37" t="str">
        <f aca="false">IF(L483&gt;$B$6,"",INDEX(Example!$P$7:$P$506,MATCH(L483,Example!$AI$7:$AI$506,0)))</f>
        <v/>
      </c>
      <c r="N483" s="0" t="str">
        <f aca="false">IF(L483&gt;$B$6,"",INDEX(Example!$A$7:$A$506,MATCH(L483,Example!$AI$7:$AI$506,0)))</f>
        <v/>
      </c>
      <c r="O483" s="34" t="str">
        <f aca="false">IF(L483&gt;$B$6,"",INDEX(Example!$AC$7:$AC$506,MATCH(L483,Example!$AI$7:$AI$506,0)))</f>
        <v/>
      </c>
      <c r="P483" s="35" t="str">
        <f aca="false">IF(L483&gt;$B$6,"",INDEX(Example!$AD$7:$AD$506,MATCH(L483,Example!$AI$7:$AI$506,0)))</f>
        <v/>
      </c>
      <c r="Q483" s="34" t="n">
        <f aca="false">IF(L483&gt;$B$6,Q482,Q482+O483)</f>
        <v>22057.5</v>
      </c>
      <c r="R483" s="34" t="str">
        <f aca="false">IF(L483&gt;$B$6,"",Q483-MAX($Q$5:Q483))</f>
        <v/>
      </c>
    </row>
    <row r="484" customFormat="false" ht="15" hidden="false" customHeight="false" outlineLevel="0" collapsed="false">
      <c r="L484" s="0" t="n">
        <v>479</v>
      </c>
      <c r="M484" s="37" t="str">
        <f aca="false">IF(L484&gt;$B$6,"",INDEX(Example!$P$7:$P$506,MATCH(L484,Example!$AI$7:$AI$506,0)))</f>
        <v/>
      </c>
      <c r="N484" s="0" t="str">
        <f aca="false">IF(L484&gt;$B$6,"",INDEX(Example!$A$7:$A$506,MATCH(L484,Example!$AI$7:$AI$506,0)))</f>
        <v/>
      </c>
      <c r="O484" s="34" t="str">
        <f aca="false">IF(L484&gt;$B$6,"",INDEX(Example!$AC$7:$AC$506,MATCH(L484,Example!$AI$7:$AI$506,0)))</f>
        <v/>
      </c>
      <c r="P484" s="35" t="str">
        <f aca="false">IF(L484&gt;$B$6,"",INDEX(Example!$AD$7:$AD$506,MATCH(L484,Example!$AI$7:$AI$506,0)))</f>
        <v/>
      </c>
      <c r="Q484" s="34" t="n">
        <f aca="false">IF(L484&gt;$B$6,Q483,Q483+O484)</f>
        <v>22057.5</v>
      </c>
      <c r="R484" s="34" t="str">
        <f aca="false">IF(L484&gt;$B$6,"",Q484-MAX($Q$5:Q484))</f>
        <v/>
      </c>
    </row>
    <row r="485" customFormat="false" ht="15" hidden="false" customHeight="false" outlineLevel="0" collapsed="false">
      <c r="L485" s="0" t="n">
        <v>480</v>
      </c>
      <c r="M485" s="37" t="str">
        <f aca="false">IF(L485&gt;$B$6,"",INDEX(Example!$P$7:$P$506,MATCH(L485,Example!$AI$7:$AI$506,0)))</f>
        <v/>
      </c>
      <c r="N485" s="0" t="str">
        <f aca="false">IF(L485&gt;$B$6,"",INDEX(Example!$A$7:$A$506,MATCH(L485,Example!$AI$7:$AI$506,0)))</f>
        <v/>
      </c>
      <c r="O485" s="34" t="str">
        <f aca="false">IF(L485&gt;$B$6,"",INDEX(Example!$AC$7:$AC$506,MATCH(L485,Example!$AI$7:$AI$506,0)))</f>
        <v/>
      </c>
      <c r="P485" s="35" t="str">
        <f aca="false">IF(L485&gt;$B$6,"",INDEX(Example!$AD$7:$AD$506,MATCH(L485,Example!$AI$7:$AI$506,0)))</f>
        <v/>
      </c>
      <c r="Q485" s="34" t="n">
        <f aca="false">IF(L485&gt;$B$6,Q484,Q484+O485)</f>
        <v>22057.5</v>
      </c>
      <c r="R485" s="34" t="str">
        <f aca="false">IF(L485&gt;$B$6,"",Q485-MAX($Q$5:Q485))</f>
        <v/>
      </c>
    </row>
    <row r="486" customFormat="false" ht="15" hidden="false" customHeight="false" outlineLevel="0" collapsed="false">
      <c r="L486" s="0" t="n">
        <v>481</v>
      </c>
      <c r="M486" s="37" t="str">
        <f aca="false">IF(L486&gt;$B$6,"",INDEX(Example!$P$7:$P$506,MATCH(L486,Example!$AI$7:$AI$506,0)))</f>
        <v/>
      </c>
      <c r="N486" s="0" t="str">
        <f aca="false">IF(L486&gt;$B$6,"",INDEX(Example!$A$7:$A$506,MATCH(L486,Example!$AI$7:$AI$506,0)))</f>
        <v/>
      </c>
      <c r="O486" s="34" t="str">
        <f aca="false">IF(L486&gt;$B$6,"",INDEX(Example!$AC$7:$AC$506,MATCH(L486,Example!$AI$7:$AI$506,0)))</f>
        <v/>
      </c>
      <c r="P486" s="35" t="str">
        <f aca="false">IF(L486&gt;$B$6,"",INDEX(Example!$AD$7:$AD$506,MATCH(L486,Example!$AI$7:$AI$506,0)))</f>
        <v/>
      </c>
      <c r="Q486" s="34" t="n">
        <f aca="false">IF(L486&gt;$B$6,Q485,Q485+O486)</f>
        <v>22057.5</v>
      </c>
      <c r="R486" s="34" t="str">
        <f aca="false">IF(L486&gt;$B$6,"",Q486-MAX($Q$5:Q486))</f>
        <v/>
      </c>
    </row>
    <row r="487" customFormat="false" ht="15" hidden="false" customHeight="false" outlineLevel="0" collapsed="false">
      <c r="L487" s="0" t="n">
        <v>482</v>
      </c>
      <c r="M487" s="37" t="str">
        <f aca="false">IF(L487&gt;$B$6,"",INDEX(Example!$P$7:$P$506,MATCH(L487,Example!$AI$7:$AI$506,0)))</f>
        <v/>
      </c>
      <c r="N487" s="0" t="str">
        <f aca="false">IF(L487&gt;$B$6,"",INDEX(Example!$A$7:$A$506,MATCH(L487,Example!$AI$7:$AI$506,0)))</f>
        <v/>
      </c>
      <c r="O487" s="34" t="str">
        <f aca="false">IF(L487&gt;$B$6,"",INDEX(Example!$AC$7:$AC$506,MATCH(L487,Example!$AI$7:$AI$506,0)))</f>
        <v/>
      </c>
      <c r="P487" s="35" t="str">
        <f aca="false">IF(L487&gt;$B$6,"",INDEX(Example!$AD$7:$AD$506,MATCH(L487,Example!$AI$7:$AI$506,0)))</f>
        <v/>
      </c>
      <c r="Q487" s="34" t="n">
        <f aca="false">IF(L487&gt;$B$6,Q486,Q486+O487)</f>
        <v>22057.5</v>
      </c>
      <c r="R487" s="34" t="str">
        <f aca="false">IF(L487&gt;$B$6,"",Q487-MAX($Q$5:Q487))</f>
        <v/>
      </c>
    </row>
    <row r="488" customFormat="false" ht="15" hidden="false" customHeight="false" outlineLevel="0" collapsed="false">
      <c r="L488" s="0" t="n">
        <v>483</v>
      </c>
      <c r="M488" s="37" t="str">
        <f aca="false">IF(L488&gt;$B$6,"",INDEX(Example!$P$7:$P$506,MATCH(L488,Example!$AI$7:$AI$506,0)))</f>
        <v/>
      </c>
      <c r="N488" s="0" t="str">
        <f aca="false">IF(L488&gt;$B$6,"",INDEX(Example!$A$7:$A$506,MATCH(L488,Example!$AI$7:$AI$506,0)))</f>
        <v/>
      </c>
      <c r="O488" s="34" t="str">
        <f aca="false">IF(L488&gt;$B$6,"",INDEX(Example!$AC$7:$AC$506,MATCH(L488,Example!$AI$7:$AI$506,0)))</f>
        <v/>
      </c>
      <c r="P488" s="35" t="str">
        <f aca="false">IF(L488&gt;$B$6,"",INDEX(Example!$AD$7:$AD$506,MATCH(L488,Example!$AI$7:$AI$506,0)))</f>
        <v/>
      </c>
      <c r="Q488" s="34" t="n">
        <f aca="false">IF(L488&gt;$B$6,Q487,Q487+O488)</f>
        <v>22057.5</v>
      </c>
      <c r="R488" s="34" t="str">
        <f aca="false">IF(L488&gt;$B$6,"",Q488-MAX($Q$5:Q488))</f>
        <v/>
      </c>
    </row>
    <row r="489" customFormat="false" ht="15" hidden="false" customHeight="false" outlineLevel="0" collapsed="false">
      <c r="L489" s="0" t="n">
        <v>484</v>
      </c>
      <c r="M489" s="37" t="str">
        <f aca="false">IF(L489&gt;$B$6,"",INDEX(Example!$P$7:$P$506,MATCH(L489,Example!$AI$7:$AI$506,0)))</f>
        <v/>
      </c>
      <c r="N489" s="0" t="str">
        <f aca="false">IF(L489&gt;$B$6,"",INDEX(Example!$A$7:$A$506,MATCH(L489,Example!$AI$7:$AI$506,0)))</f>
        <v/>
      </c>
      <c r="O489" s="34" t="str">
        <f aca="false">IF(L489&gt;$B$6,"",INDEX(Example!$AC$7:$AC$506,MATCH(L489,Example!$AI$7:$AI$506,0)))</f>
        <v/>
      </c>
      <c r="P489" s="35" t="str">
        <f aca="false">IF(L489&gt;$B$6,"",INDEX(Example!$AD$7:$AD$506,MATCH(L489,Example!$AI$7:$AI$506,0)))</f>
        <v/>
      </c>
      <c r="Q489" s="34" t="n">
        <f aca="false">IF(L489&gt;$B$6,Q488,Q488+O489)</f>
        <v>22057.5</v>
      </c>
      <c r="R489" s="34" t="str">
        <f aca="false">IF(L489&gt;$B$6,"",Q489-MAX($Q$5:Q489))</f>
        <v/>
      </c>
    </row>
    <row r="490" customFormat="false" ht="15" hidden="false" customHeight="false" outlineLevel="0" collapsed="false">
      <c r="L490" s="0" t="n">
        <v>485</v>
      </c>
      <c r="M490" s="37" t="str">
        <f aca="false">IF(L490&gt;$B$6,"",INDEX(Example!$P$7:$P$506,MATCH(L490,Example!$AI$7:$AI$506,0)))</f>
        <v/>
      </c>
      <c r="N490" s="0" t="str">
        <f aca="false">IF(L490&gt;$B$6,"",INDEX(Example!$A$7:$A$506,MATCH(L490,Example!$AI$7:$AI$506,0)))</f>
        <v/>
      </c>
      <c r="O490" s="34" t="str">
        <f aca="false">IF(L490&gt;$B$6,"",INDEX(Example!$AC$7:$AC$506,MATCH(L490,Example!$AI$7:$AI$506,0)))</f>
        <v/>
      </c>
      <c r="P490" s="35" t="str">
        <f aca="false">IF(L490&gt;$B$6,"",INDEX(Example!$AD$7:$AD$506,MATCH(L490,Example!$AI$7:$AI$506,0)))</f>
        <v/>
      </c>
      <c r="Q490" s="34" t="n">
        <f aca="false">IF(L490&gt;$B$6,Q489,Q489+O490)</f>
        <v>22057.5</v>
      </c>
      <c r="R490" s="34" t="str">
        <f aca="false">IF(L490&gt;$B$6,"",Q490-MAX($Q$5:Q490))</f>
        <v/>
      </c>
    </row>
    <row r="491" customFormat="false" ht="15" hidden="false" customHeight="false" outlineLevel="0" collapsed="false">
      <c r="L491" s="0" t="n">
        <v>486</v>
      </c>
      <c r="M491" s="37" t="str">
        <f aca="false">IF(L491&gt;$B$6,"",INDEX(Example!$P$7:$P$506,MATCH(L491,Example!$AI$7:$AI$506,0)))</f>
        <v/>
      </c>
      <c r="N491" s="0" t="str">
        <f aca="false">IF(L491&gt;$B$6,"",INDEX(Example!$A$7:$A$506,MATCH(L491,Example!$AI$7:$AI$506,0)))</f>
        <v/>
      </c>
      <c r="O491" s="34" t="str">
        <f aca="false">IF(L491&gt;$B$6,"",INDEX(Example!$AC$7:$AC$506,MATCH(L491,Example!$AI$7:$AI$506,0)))</f>
        <v/>
      </c>
      <c r="P491" s="35" t="str">
        <f aca="false">IF(L491&gt;$B$6,"",INDEX(Example!$AD$7:$AD$506,MATCH(L491,Example!$AI$7:$AI$506,0)))</f>
        <v/>
      </c>
      <c r="Q491" s="34" t="n">
        <f aca="false">IF(L491&gt;$B$6,Q490,Q490+O491)</f>
        <v>22057.5</v>
      </c>
      <c r="R491" s="34" t="str">
        <f aca="false">IF(L491&gt;$B$6,"",Q491-MAX($Q$5:Q491))</f>
        <v/>
      </c>
    </row>
    <row r="492" customFormat="false" ht="15" hidden="false" customHeight="false" outlineLevel="0" collapsed="false">
      <c r="L492" s="0" t="n">
        <v>487</v>
      </c>
      <c r="M492" s="37" t="str">
        <f aca="false">IF(L492&gt;$B$6,"",INDEX(Example!$P$7:$P$506,MATCH(L492,Example!$AI$7:$AI$506,0)))</f>
        <v/>
      </c>
      <c r="N492" s="0" t="str">
        <f aca="false">IF(L492&gt;$B$6,"",INDEX(Example!$A$7:$A$506,MATCH(L492,Example!$AI$7:$AI$506,0)))</f>
        <v/>
      </c>
      <c r="O492" s="34" t="str">
        <f aca="false">IF(L492&gt;$B$6,"",INDEX(Example!$AC$7:$AC$506,MATCH(L492,Example!$AI$7:$AI$506,0)))</f>
        <v/>
      </c>
      <c r="P492" s="35" t="str">
        <f aca="false">IF(L492&gt;$B$6,"",INDEX(Example!$AD$7:$AD$506,MATCH(L492,Example!$AI$7:$AI$506,0)))</f>
        <v/>
      </c>
      <c r="Q492" s="34" t="n">
        <f aca="false">IF(L492&gt;$B$6,Q491,Q491+O492)</f>
        <v>22057.5</v>
      </c>
      <c r="R492" s="34" t="str">
        <f aca="false">IF(L492&gt;$B$6,"",Q492-MAX($Q$5:Q492))</f>
        <v/>
      </c>
    </row>
    <row r="493" customFormat="false" ht="15" hidden="false" customHeight="false" outlineLevel="0" collapsed="false">
      <c r="L493" s="0" t="n">
        <v>488</v>
      </c>
      <c r="M493" s="37" t="str">
        <f aca="false">IF(L493&gt;$B$6,"",INDEX(Example!$P$7:$P$506,MATCH(L493,Example!$AI$7:$AI$506,0)))</f>
        <v/>
      </c>
      <c r="N493" s="0" t="str">
        <f aca="false">IF(L493&gt;$B$6,"",INDEX(Example!$A$7:$A$506,MATCH(L493,Example!$AI$7:$AI$506,0)))</f>
        <v/>
      </c>
      <c r="O493" s="34" t="str">
        <f aca="false">IF(L493&gt;$B$6,"",INDEX(Example!$AC$7:$AC$506,MATCH(L493,Example!$AI$7:$AI$506,0)))</f>
        <v/>
      </c>
      <c r="P493" s="35" t="str">
        <f aca="false">IF(L493&gt;$B$6,"",INDEX(Example!$AD$7:$AD$506,MATCH(L493,Example!$AI$7:$AI$506,0)))</f>
        <v/>
      </c>
      <c r="Q493" s="34" t="n">
        <f aca="false">IF(L493&gt;$B$6,Q492,Q492+O493)</f>
        <v>22057.5</v>
      </c>
      <c r="R493" s="34" t="str">
        <f aca="false">IF(L493&gt;$B$6,"",Q493-MAX($Q$5:Q493))</f>
        <v/>
      </c>
    </row>
    <row r="494" customFormat="false" ht="15" hidden="false" customHeight="false" outlineLevel="0" collapsed="false">
      <c r="L494" s="0" t="n">
        <v>489</v>
      </c>
      <c r="M494" s="37" t="str">
        <f aca="false">IF(L494&gt;$B$6,"",INDEX(Example!$P$7:$P$506,MATCH(L494,Example!$AI$7:$AI$506,0)))</f>
        <v/>
      </c>
      <c r="N494" s="0" t="str">
        <f aca="false">IF(L494&gt;$B$6,"",INDEX(Example!$A$7:$A$506,MATCH(L494,Example!$AI$7:$AI$506,0)))</f>
        <v/>
      </c>
      <c r="O494" s="34" t="str">
        <f aca="false">IF(L494&gt;$B$6,"",INDEX(Example!$AC$7:$AC$506,MATCH(L494,Example!$AI$7:$AI$506,0)))</f>
        <v/>
      </c>
      <c r="P494" s="35" t="str">
        <f aca="false">IF(L494&gt;$B$6,"",INDEX(Example!$AD$7:$AD$506,MATCH(L494,Example!$AI$7:$AI$506,0)))</f>
        <v/>
      </c>
      <c r="Q494" s="34" t="n">
        <f aca="false">IF(L494&gt;$B$6,Q493,Q493+O494)</f>
        <v>22057.5</v>
      </c>
      <c r="R494" s="34" t="str">
        <f aca="false">IF(L494&gt;$B$6,"",Q494-MAX($Q$5:Q494))</f>
        <v/>
      </c>
    </row>
    <row r="495" customFormat="false" ht="15" hidden="false" customHeight="false" outlineLevel="0" collapsed="false">
      <c r="L495" s="0" t="n">
        <v>490</v>
      </c>
      <c r="M495" s="37" t="str">
        <f aca="false">IF(L495&gt;$B$6,"",INDEX(Example!$P$7:$P$506,MATCH(L495,Example!$AI$7:$AI$506,0)))</f>
        <v/>
      </c>
      <c r="N495" s="0" t="str">
        <f aca="false">IF(L495&gt;$B$6,"",INDEX(Example!$A$7:$A$506,MATCH(L495,Example!$AI$7:$AI$506,0)))</f>
        <v/>
      </c>
      <c r="O495" s="34" t="str">
        <f aca="false">IF(L495&gt;$B$6,"",INDEX(Example!$AC$7:$AC$506,MATCH(L495,Example!$AI$7:$AI$506,0)))</f>
        <v/>
      </c>
      <c r="P495" s="35" t="str">
        <f aca="false">IF(L495&gt;$B$6,"",INDEX(Example!$AD$7:$AD$506,MATCH(L495,Example!$AI$7:$AI$506,0)))</f>
        <v/>
      </c>
      <c r="Q495" s="34" t="n">
        <f aca="false">IF(L495&gt;$B$6,Q494,Q494+O495)</f>
        <v>22057.5</v>
      </c>
      <c r="R495" s="34" t="str">
        <f aca="false">IF(L495&gt;$B$6,"",Q495-MAX($Q$5:Q495))</f>
        <v/>
      </c>
    </row>
    <row r="496" customFormat="false" ht="15" hidden="false" customHeight="false" outlineLevel="0" collapsed="false">
      <c r="L496" s="0" t="n">
        <v>491</v>
      </c>
      <c r="M496" s="37" t="str">
        <f aca="false">IF(L496&gt;$B$6,"",INDEX(Example!$P$7:$P$506,MATCH(L496,Example!$AI$7:$AI$506,0)))</f>
        <v/>
      </c>
      <c r="N496" s="0" t="str">
        <f aca="false">IF(L496&gt;$B$6,"",INDEX(Example!$A$7:$A$506,MATCH(L496,Example!$AI$7:$AI$506,0)))</f>
        <v/>
      </c>
      <c r="O496" s="34" t="str">
        <f aca="false">IF(L496&gt;$B$6,"",INDEX(Example!$AC$7:$AC$506,MATCH(L496,Example!$AI$7:$AI$506,0)))</f>
        <v/>
      </c>
      <c r="P496" s="35" t="str">
        <f aca="false">IF(L496&gt;$B$6,"",INDEX(Example!$AD$7:$AD$506,MATCH(L496,Example!$AI$7:$AI$506,0)))</f>
        <v/>
      </c>
      <c r="Q496" s="34" t="n">
        <f aca="false">IF(L496&gt;$B$6,Q495,Q495+O496)</f>
        <v>22057.5</v>
      </c>
      <c r="R496" s="34" t="str">
        <f aca="false">IF(L496&gt;$B$6,"",Q496-MAX($Q$5:Q496))</f>
        <v/>
      </c>
    </row>
    <row r="497" customFormat="false" ht="15" hidden="false" customHeight="false" outlineLevel="0" collapsed="false">
      <c r="L497" s="0" t="n">
        <v>492</v>
      </c>
      <c r="M497" s="37" t="str">
        <f aca="false">IF(L497&gt;$B$6,"",INDEX(Example!$P$7:$P$506,MATCH(L497,Example!$AI$7:$AI$506,0)))</f>
        <v/>
      </c>
      <c r="N497" s="0" t="str">
        <f aca="false">IF(L497&gt;$B$6,"",INDEX(Example!$A$7:$A$506,MATCH(L497,Example!$AI$7:$AI$506,0)))</f>
        <v/>
      </c>
      <c r="O497" s="34" t="str">
        <f aca="false">IF(L497&gt;$B$6,"",INDEX(Example!$AC$7:$AC$506,MATCH(L497,Example!$AI$7:$AI$506,0)))</f>
        <v/>
      </c>
      <c r="P497" s="35" t="str">
        <f aca="false">IF(L497&gt;$B$6,"",INDEX(Example!$AD$7:$AD$506,MATCH(L497,Example!$AI$7:$AI$506,0)))</f>
        <v/>
      </c>
      <c r="Q497" s="34" t="n">
        <f aca="false">IF(L497&gt;$B$6,Q496,Q496+O497)</f>
        <v>22057.5</v>
      </c>
      <c r="R497" s="34" t="str">
        <f aca="false">IF(L497&gt;$B$6,"",Q497-MAX($Q$5:Q497))</f>
        <v/>
      </c>
    </row>
    <row r="498" customFormat="false" ht="15" hidden="false" customHeight="false" outlineLevel="0" collapsed="false">
      <c r="L498" s="0" t="n">
        <v>493</v>
      </c>
      <c r="M498" s="37" t="str">
        <f aca="false">IF(L498&gt;$B$6,"",INDEX(Example!$P$7:$P$506,MATCH(L498,Example!$AI$7:$AI$506,0)))</f>
        <v/>
      </c>
      <c r="N498" s="0" t="str">
        <f aca="false">IF(L498&gt;$B$6,"",INDEX(Example!$A$7:$A$506,MATCH(L498,Example!$AI$7:$AI$506,0)))</f>
        <v/>
      </c>
      <c r="O498" s="34" t="str">
        <f aca="false">IF(L498&gt;$B$6,"",INDEX(Example!$AC$7:$AC$506,MATCH(L498,Example!$AI$7:$AI$506,0)))</f>
        <v/>
      </c>
      <c r="P498" s="35" t="str">
        <f aca="false">IF(L498&gt;$B$6,"",INDEX(Example!$AD$7:$AD$506,MATCH(L498,Example!$AI$7:$AI$506,0)))</f>
        <v/>
      </c>
      <c r="Q498" s="34" t="n">
        <f aca="false">IF(L498&gt;$B$6,Q497,Q497+O498)</f>
        <v>22057.5</v>
      </c>
      <c r="R498" s="34" t="str">
        <f aca="false">IF(L498&gt;$B$6,"",Q498-MAX($Q$5:Q498))</f>
        <v/>
      </c>
    </row>
    <row r="499" customFormat="false" ht="15" hidden="false" customHeight="false" outlineLevel="0" collapsed="false">
      <c r="L499" s="0" t="n">
        <v>494</v>
      </c>
      <c r="M499" s="37" t="str">
        <f aca="false">IF(L499&gt;$B$6,"",INDEX(Example!$P$7:$P$506,MATCH(L499,Example!$AI$7:$AI$506,0)))</f>
        <v/>
      </c>
      <c r="N499" s="0" t="str">
        <f aca="false">IF(L499&gt;$B$6,"",INDEX(Example!$A$7:$A$506,MATCH(L499,Example!$AI$7:$AI$506,0)))</f>
        <v/>
      </c>
      <c r="O499" s="34" t="str">
        <f aca="false">IF(L499&gt;$B$6,"",INDEX(Example!$AC$7:$AC$506,MATCH(L499,Example!$AI$7:$AI$506,0)))</f>
        <v/>
      </c>
      <c r="P499" s="35" t="str">
        <f aca="false">IF(L499&gt;$B$6,"",INDEX(Example!$AD$7:$AD$506,MATCH(L499,Example!$AI$7:$AI$506,0)))</f>
        <v/>
      </c>
      <c r="Q499" s="34" t="n">
        <f aca="false">IF(L499&gt;$B$6,Q498,Q498+O499)</f>
        <v>22057.5</v>
      </c>
      <c r="R499" s="34" t="str">
        <f aca="false">IF(L499&gt;$B$6,"",Q499-MAX($Q$5:Q499))</f>
        <v/>
      </c>
    </row>
    <row r="500" customFormat="false" ht="15" hidden="false" customHeight="false" outlineLevel="0" collapsed="false">
      <c r="L500" s="0" t="n">
        <v>495</v>
      </c>
      <c r="M500" s="37" t="str">
        <f aca="false">IF(L500&gt;$B$6,"",INDEX(Example!$P$7:$P$506,MATCH(L500,Example!$AI$7:$AI$506,0)))</f>
        <v/>
      </c>
      <c r="N500" s="0" t="str">
        <f aca="false">IF(L500&gt;$B$6,"",INDEX(Example!$A$7:$A$506,MATCH(L500,Example!$AI$7:$AI$506,0)))</f>
        <v/>
      </c>
      <c r="O500" s="34" t="str">
        <f aca="false">IF(L500&gt;$B$6,"",INDEX(Example!$AC$7:$AC$506,MATCH(L500,Example!$AI$7:$AI$506,0)))</f>
        <v/>
      </c>
      <c r="P500" s="35" t="str">
        <f aca="false">IF(L500&gt;$B$6,"",INDEX(Example!$AD$7:$AD$506,MATCH(L500,Example!$AI$7:$AI$506,0)))</f>
        <v/>
      </c>
      <c r="Q500" s="34" t="n">
        <f aca="false">IF(L500&gt;$B$6,Q499,Q499+O500)</f>
        <v>22057.5</v>
      </c>
      <c r="R500" s="34" t="str">
        <f aca="false">IF(L500&gt;$B$6,"",Q500-MAX($Q$5:Q500))</f>
        <v/>
      </c>
    </row>
    <row r="501" customFormat="false" ht="15" hidden="false" customHeight="false" outlineLevel="0" collapsed="false">
      <c r="L501" s="0" t="n">
        <v>496</v>
      </c>
      <c r="M501" s="37" t="str">
        <f aca="false">IF(L501&gt;$B$6,"",INDEX(Example!$P$7:$P$506,MATCH(L501,Example!$AI$7:$AI$506,0)))</f>
        <v/>
      </c>
      <c r="N501" s="0" t="str">
        <f aca="false">IF(L501&gt;$B$6,"",INDEX(Example!$A$7:$A$506,MATCH(L501,Example!$AI$7:$AI$506,0)))</f>
        <v/>
      </c>
      <c r="O501" s="34" t="str">
        <f aca="false">IF(L501&gt;$B$6,"",INDEX(Example!$AC$7:$AC$506,MATCH(L501,Example!$AI$7:$AI$506,0)))</f>
        <v/>
      </c>
      <c r="P501" s="35" t="str">
        <f aca="false">IF(L501&gt;$B$6,"",INDEX(Example!$AD$7:$AD$506,MATCH(L501,Example!$AI$7:$AI$506,0)))</f>
        <v/>
      </c>
      <c r="Q501" s="34" t="n">
        <f aca="false">IF(L501&gt;$B$6,Q500,Q500+O501)</f>
        <v>22057.5</v>
      </c>
      <c r="R501" s="34" t="str">
        <f aca="false">IF(L501&gt;$B$6,"",Q501-MAX($Q$5:Q501))</f>
        <v/>
      </c>
    </row>
    <row r="502" customFormat="false" ht="15" hidden="false" customHeight="false" outlineLevel="0" collapsed="false">
      <c r="L502" s="0" t="n">
        <v>497</v>
      </c>
      <c r="M502" s="37" t="str">
        <f aca="false">IF(L502&gt;$B$6,"",INDEX(Example!$P$7:$P$506,MATCH(L502,Example!$AI$7:$AI$506,0)))</f>
        <v/>
      </c>
      <c r="N502" s="0" t="str">
        <f aca="false">IF(L502&gt;$B$6,"",INDEX(Example!$A$7:$A$506,MATCH(L502,Example!$AI$7:$AI$506,0)))</f>
        <v/>
      </c>
      <c r="O502" s="34" t="str">
        <f aca="false">IF(L502&gt;$B$6,"",INDEX(Example!$AC$7:$AC$506,MATCH(L502,Example!$AI$7:$AI$506,0)))</f>
        <v/>
      </c>
      <c r="P502" s="35" t="str">
        <f aca="false">IF(L502&gt;$B$6,"",INDEX(Example!$AD$7:$AD$506,MATCH(L502,Example!$AI$7:$AI$506,0)))</f>
        <v/>
      </c>
      <c r="Q502" s="34" t="n">
        <f aca="false">IF(L502&gt;$B$6,Q501,Q501+O502)</f>
        <v>22057.5</v>
      </c>
      <c r="R502" s="34" t="str">
        <f aca="false">IF(L502&gt;$B$6,"",Q502-MAX($Q$5:Q502))</f>
        <v/>
      </c>
    </row>
    <row r="503" customFormat="false" ht="15" hidden="false" customHeight="false" outlineLevel="0" collapsed="false">
      <c r="L503" s="0" t="n">
        <v>498</v>
      </c>
      <c r="M503" s="37" t="str">
        <f aca="false">IF(L503&gt;$B$6,"",INDEX(Example!$P$7:$P$506,MATCH(L503,Example!$AI$7:$AI$506,0)))</f>
        <v/>
      </c>
      <c r="N503" s="0" t="str">
        <f aca="false">IF(L503&gt;$B$6,"",INDEX(Example!$A$7:$A$506,MATCH(L503,Example!$AI$7:$AI$506,0)))</f>
        <v/>
      </c>
      <c r="O503" s="34" t="str">
        <f aca="false">IF(L503&gt;$B$6,"",INDEX(Example!$AC$7:$AC$506,MATCH(L503,Example!$AI$7:$AI$506,0)))</f>
        <v/>
      </c>
      <c r="P503" s="35" t="str">
        <f aca="false">IF(L503&gt;$B$6,"",INDEX(Example!$AD$7:$AD$506,MATCH(L503,Example!$AI$7:$AI$506,0)))</f>
        <v/>
      </c>
      <c r="Q503" s="34" t="n">
        <f aca="false">IF(L503&gt;$B$6,Q502,Q502+O503)</f>
        <v>22057.5</v>
      </c>
      <c r="R503" s="34" t="str">
        <f aca="false">IF(L503&gt;$B$6,"",Q503-MAX($Q$5:Q503))</f>
        <v/>
      </c>
    </row>
    <row r="504" customFormat="false" ht="15" hidden="false" customHeight="false" outlineLevel="0" collapsed="false">
      <c r="L504" s="0" t="n">
        <v>499</v>
      </c>
      <c r="M504" s="37" t="str">
        <f aca="false">IF(L504&gt;$B$6,"",INDEX(Example!$P$7:$P$506,MATCH(L504,Example!$AI$7:$AI$506,0)))</f>
        <v/>
      </c>
      <c r="N504" s="0" t="str">
        <f aca="false">IF(L504&gt;$B$6,"",INDEX(Example!$A$7:$A$506,MATCH(L504,Example!$AI$7:$AI$506,0)))</f>
        <v/>
      </c>
      <c r="O504" s="34" t="str">
        <f aca="false">IF(L504&gt;$B$6,"",INDEX(Example!$AC$7:$AC$506,MATCH(L504,Example!$AI$7:$AI$506,0)))</f>
        <v/>
      </c>
      <c r="P504" s="35" t="str">
        <f aca="false">IF(L504&gt;$B$6,"",INDEX(Example!$AD$7:$AD$506,MATCH(L504,Example!$AI$7:$AI$506,0)))</f>
        <v/>
      </c>
      <c r="Q504" s="34" t="n">
        <f aca="false">IF(L504&gt;$B$6,Q503,Q503+O504)</f>
        <v>22057.5</v>
      </c>
      <c r="R504" s="34" t="str">
        <f aca="false">IF(L504&gt;$B$6,"",Q504-MAX($Q$5:Q504))</f>
        <v/>
      </c>
    </row>
    <row r="505" customFormat="false" ht="15" hidden="false" customHeight="false" outlineLevel="0" collapsed="false">
      <c r="L505" s="0" t="n">
        <v>500</v>
      </c>
      <c r="M505" s="37" t="str">
        <f aca="false">IF(L505&gt;$B$6,"",INDEX(Example!$P$7:$P$506,MATCH(L505,Example!$AI$7:$AI$506,0)))</f>
        <v/>
      </c>
      <c r="N505" s="0" t="str">
        <f aca="false">IF(L505&gt;$B$6,"",INDEX(Example!$A$7:$A$506,MATCH(L505,Example!$AI$7:$AI$506,0)))</f>
        <v/>
      </c>
      <c r="O505" s="34" t="str">
        <f aca="false">IF(L505&gt;$B$6,"",INDEX(Example!$AC$7:$AC$506,MATCH(L505,Example!$AI$7:$AI$506,0)))</f>
        <v/>
      </c>
      <c r="P505" s="35" t="str">
        <f aca="false">IF(L505&gt;$B$6,"",INDEX(Example!$AD$7:$AD$506,MATCH(L505,Example!$AI$7:$AI$506,0)))</f>
        <v/>
      </c>
      <c r="Q505" s="34" t="n">
        <f aca="false">IF(L505&gt;$B$6,Q504,Q504+O505)</f>
        <v>22057.5</v>
      </c>
      <c r="R505" s="34" t="str">
        <f aca="false">IF(L505&gt;$B$6,"",Q505-MAX($Q$5:Q505))</f>
        <v/>
      </c>
    </row>
  </sheetData>
  <conditionalFormatting sqref="B39">
    <cfRule type="cellIs" priority="2" operator="equal" aboveAverage="0" equalAverage="0" bottom="0" percent="0" rank="0" text="" dxfId="0">
      <formula>"Over limit"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3" style="0" width="18"/>
    <col collapsed="false" customWidth="true" hidden="false" outlineLevel="0" max="6" min="6" style="0" width="16"/>
  </cols>
  <sheetData>
    <row r="1" customFormat="false" ht="19.7" hidden="false" customHeight="false" outlineLevel="0" collapsed="false">
      <c r="A1" s="4" t="s">
        <v>149</v>
      </c>
    </row>
    <row r="2" customFormat="false" ht="45" hidden="false" customHeight="true" outlineLevel="0" collapsed="false">
      <c r="A2" s="49" t="s">
        <v>150</v>
      </c>
      <c r="B2" s="49"/>
      <c r="C2" s="49"/>
      <c r="D2" s="49"/>
      <c r="E2" s="49"/>
      <c r="F2" s="49"/>
      <c r="G2" s="49"/>
      <c r="H2" s="49"/>
    </row>
    <row r="4" customFormat="false" ht="15" hidden="false" customHeight="false" outlineLevel="0" collapsed="false">
      <c r="A4" s="27" t="s">
        <v>151</v>
      </c>
      <c r="C4" s="27" t="s">
        <v>152</v>
      </c>
      <c r="F4" s="27" t="s">
        <v>153</v>
      </c>
    </row>
    <row r="5" customFormat="false" ht="15" hidden="false" customHeight="false" outlineLevel="0" collapsed="false">
      <c r="A5" s="48" t="s">
        <v>127</v>
      </c>
      <c r="C5" s="48" t="s">
        <v>128</v>
      </c>
      <c r="F5" s="15"/>
    </row>
    <row r="6" customFormat="false" ht="15" hidden="false" customHeight="false" outlineLevel="0" collapsed="false">
      <c r="A6" s="48" t="s">
        <v>130</v>
      </c>
      <c r="C6" s="48" t="s">
        <v>137</v>
      </c>
      <c r="F6" s="15"/>
    </row>
    <row r="7" customFormat="false" ht="15" hidden="false" customHeight="false" outlineLevel="0" collapsed="false">
      <c r="A7" s="48" t="s">
        <v>136</v>
      </c>
      <c r="C7" s="48" t="s">
        <v>145</v>
      </c>
      <c r="F7" s="15"/>
    </row>
    <row r="8" customFormat="false" ht="15" hidden="false" customHeight="false" outlineLevel="0" collapsed="false">
      <c r="A8" s="48" t="s">
        <v>139</v>
      </c>
      <c r="C8" s="48" t="s">
        <v>134</v>
      </c>
      <c r="F8" s="15"/>
    </row>
    <row r="9" customFormat="false" ht="15" hidden="false" customHeight="false" outlineLevel="0" collapsed="false">
      <c r="A9" s="48" t="s">
        <v>144</v>
      </c>
      <c r="C9" s="48" t="s">
        <v>146</v>
      </c>
      <c r="F9" s="15"/>
    </row>
    <row r="10" customFormat="false" ht="15" hidden="false" customHeight="false" outlineLevel="0" collapsed="false">
      <c r="A10" s="48" t="s">
        <v>142</v>
      </c>
      <c r="C10" s="48" t="s">
        <v>154</v>
      </c>
      <c r="F10" s="15"/>
    </row>
    <row r="11" customFormat="false" ht="15" hidden="false" customHeight="false" outlineLevel="0" collapsed="false">
      <c r="A11" s="48" t="s">
        <v>133</v>
      </c>
      <c r="C11" s="48" t="s">
        <v>155</v>
      </c>
      <c r="F11" s="15"/>
    </row>
    <row r="12" customFormat="false" ht="15" hidden="false" customHeight="false" outlineLevel="0" collapsed="false">
      <c r="A12" s="48" t="s">
        <v>155</v>
      </c>
      <c r="C12" s="48"/>
      <c r="F12" s="15"/>
    </row>
    <row r="13" customFormat="false" ht="15" hidden="false" customHeight="false" outlineLevel="0" collapsed="false">
      <c r="A13" s="48"/>
      <c r="C13" s="48"/>
      <c r="F13" s="15"/>
    </row>
    <row r="14" customFormat="false" ht="15" hidden="false" customHeight="false" outlineLevel="0" collapsed="false">
      <c r="A14" s="48"/>
      <c r="C14" s="48"/>
      <c r="F14" s="15"/>
    </row>
    <row r="15" customFormat="false" ht="15" hidden="false" customHeight="false" outlineLevel="0" collapsed="false">
      <c r="A15" s="48"/>
      <c r="C15" s="48"/>
      <c r="F15" s="15"/>
    </row>
    <row r="16" customFormat="false" ht="15" hidden="false" customHeight="false" outlineLevel="0" collapsed="false">
      <c r="A16" s="48"/>
      <c r="C16" s="48"/>
      <c r="F16" s="15"/>
    </row>
    <row r="17" customFormat="false" ht="15" hidden="false" customHeight="false" outlineLevel="0" collapsed="false">
      <c r="F17" s="15"/>
    </row>
    <row r="18" customFormat="false" ht="15" hidden="false" customHeight="false" outlineLevel="0" collapsed="false">
      <c r="F18" s="15"/>
    </row>
    <row r="19" customFormat="false" ht="15" hidden="false" customHeight="false" outlineLevel="0" collapsed="false">
      <c r="F19" s="15"/>
    </row>
    <row r="20" customFormat="false" ht="15" hidden="false" customHeight="false" outlineLevel="0" collapsed="false">
      <c r="F20" s="15"/>
    </row>
    <row r="21" customFormat="false" ht="15" hidden="false" customHeight="false" outlineLevel="0" collapsed="false">
      <c r="F21" s="15"/>
    </row>
    <row r="22" customFormat="false" ht="15" hidden="false" customHeight="false" outlineLevel="0" collapsed="false">
      <c r="F22" s="15"/>
    </row>
    <row r="23" customFormat="false" ht="15" hidden="false" customHeight="false" outlineLevel="0" collapsed="false">
      <c r="F23" s="15"/>
    </row>
    <row r="24" customFormat="false" ht="15" hidden="false" customHeight="false" outlineLevel="0" collapsed="false">
      <c r="F24" s="15"/>
    </row>
    <row r="25" customFormat="false" ht="15" hidden="false" customHeight="false" outlineLevel="0" collapsed="false">
      <c r="F25" s="15"/>
    </row>
    <row r="26" customFormat="false" ht="15" hidden="false" customHeight="false" outlineLevel="0" collapsed="false">
      <c r="F26" s="15"/>
    </row>
    <row r="27" customFormat="false" ht="15" hidden="false" customHeight="false" outlineLevel="0" collapsed="false">
      <c r="F27" s="15"/>
    </row>
    <row r="28" customFormat="false" ht="15" hidden="false" customHeight="false" outlineLevel="0" collapsed="false">
      <c r="F28" s="15"/>
    </row>
    <row r="29" customFormat="false" ht="15" hidden="false" customHeight="false" outlineLevel="0" collapsed="false">
      <c r="F29" s="15"/>
    </row>
    <row r="30" customFormat="false" ht="15" hidden="false" customHeight="false" outlineLevel="0" collapsed="false">
      <c r="F30" s="15"/>
    </row>
    <row r="31" customFormat="false" ht="15" hidden="false" customHeight="false" outlineLevel="0" collapsed="false">
      <c r="F31" s="15"/>
    </row>
    <row r="32" customFormat="false" ht="15" hidden="false" customHeight="false" outlineLevel="0" collapsed="false">
      <c r="F32" s="15"/>
    </row>
    <row r="33" customFormat="false" ht="15" hidden="false" customHeight="false" outlineLevel="0" collapsed="false">
      <c r="F33" s="15"/>
    </row>
    <row r="34" customFormat="false" ht="15" hidden="false" customHeight="false" outlineLevel="0" collapsed="false">
      <c r="F34" s="15"/>
    </row>
    <row r="35" customFormat="false" ht="15" hidden="false" customHeight="false" outlineLevel="0" collapsed="false">
      <c r="F35" s="15"/>
    </row>
    <row r="36" customFormat="false" ht="15" hidden="false" customHeight="false" outlineLevel="0" collapsed="false">
      <c r="F36" s="15"/>
    </row>
    <row r="37" customFormat="false" ht="15" hidden="false" customHeight="false" outlineLevel="0" collapsed="false">
      <c r="F37" s="15"/>
    </row>
    <row r="38" customFormat="false" ht="15" hidden="false" customHeight="false" outlineLevel="0" collapsed="false">
      <c r="F38" s="15"/>
    </row>
    <row r="39" customFormat="false" ht="15" hidden="false" customHeight="false" outlineLevel="0" collapsed="false">
      <c r="F39" s="15"/>
    </row>
    <row r="40" customFormat="false" ht="15" hidden="false" customHeight="false" outlineLevel="0" collapsed="false">
      <c r="F40" s="15"/>
    </row>
  </sheetData>
  <mergeCells count="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2026-10-29T08:11:58Z</dcterms:created>
  <dc:creator>openpyxl</dc:creator>
  <dc:description/>
  <dc:language>en-US</dc:language>
  <cp:lastModifiedBy/>
  <dcterms:modified xsi:type="dcterms:W3CDTF">2026-10-29T08:11:59Z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