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tart here" sheetId="1" state="visible" r:id="rId3"/>
    <sheet name="Trades" sheetId="2" state="visible" r:id="rId4"/>
    <sheet name="Summary" sheetId="3" state="visible" r:id="rId5"/>
    <sheet name="Example Trades" sheetId="4" state="visible" r:id="rId6"/>
    <sheet name="Example Summary"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<sst xmlns="http://schemas.openxmlformats.org/spreadsheetml/2006/main" count="207" uniqueCount="110">
  <si>
    <t xml:space="preserve">Options Trading Tracker</t>
  </si>
  <si>
    <t xml:space="preserve">Version</t>
  </si>
  <si>
    <t xml:space="preserve">v1.0, 25 Oct 2026. Free template from becoin.net/templates/options-trading-tracker</t>
  </si>
  <si>
    <t xml:space="preserve">What it does</t>
  </si>
  <si>
    <t xml:space="preserve">Logs single-leg option trades (long call, long put, covered call, cash-secured put) and calculates net premium, break-even at expiry, days held, days to expiry, realized P/L, return on capital at risk, a simple annualized return, a summary by strategy and realized P/L by month.</t>
  </si>
  <si>
    <t xml:space="preserve">Example data is fictional</t>
  </si>
  <si>
    <t xml:space="preserve">The 'Example Trades' and 'Example Summary' tabs use made-up tickers (ORVX, KLMT, BNDQ, ZEPH, TRLA), prices and premiums. They are not real quotes or results.</t>
  </si>
  <si>
    <t xml:space="preserve">How to use</t>
  </si>
  <si>
    <t xml:space="preserve">1</t>
  </si>
  <si>
    <t xml:space="preserve">On 'Trades', type today's date in B2 (or =TODAY()). Leave the multiplier at 100 unless a contract was adjusted.</t>
  </si>
  <si>
    <t xml:space="preserve">2</t>
  </si>
  <si>
    <t xml:space="preserve">Add one row per position: open date, ticker, strategy (dropdown), strike, expiration, contracts, premium per share, stock price at open, total fees. Status = Open.</t>
  </si>
  <si>
    <t xml:space="preserve">3</t>
  </si>
  <si>
    <t xml:space="preserve">Premium is per share, as quoted. A $1.40 quote on 2 contracts is $1.40 x 100 x 2 = $280.</t>
  </si>
  <si>
    <t xml:space="preserve">4</t>
  </si>
  <si>
    <t xml:space="preserve">Covered call: put your cost per share of the stock you own in 'Stock price at open'. It sets break-even and capital at risk.</t>
  </si>
  <si>
    <t xml:space="preserve">5</t>
  </si>
  <si>
    <t xml:space="preserve">When the trade ends, set Status: Closed (type close date and the close premium per share), Expired (worthless), or Assigned (shares were delivered or bought at the strike).</t>
  </si>
  <si>
    <t xml:space="preserve">6</t>
  </si>
  <si>
    <t xml:space="preserve">Read results on 'Summary'. Type a year in the monthly block to change the chart.</t>
  </si>
  <si>
    <t xml:space="preserve">7</t>
  </si>
  <si>
    <t xml:space="preserve">Exercised a long option? Enter its intrinsic value as the close premium and mark it Closed, then log the shares in your stock tracker.</t>
  </si>
  <si>
    <t xml:space="preserve">Definitions</t>
  </si>
  <si>
    <t xml:space="preserve">Net premium at open</t>
  </si>
  <si>
    <t xml:space="preserve">Premium per share x multiplier x contracts. Positive when you sell to open (credit received), negative when you buy to open (debit paid).</t>
  </si>
  <si>
    <t xml:space="preserve">Break-even at expiry</t>
  </si>
  <si>
    <t xml:space="preserve">Long call: strike + premium. Long put: strike - premium. Cash-secured put: strike - premium. Covered call: share cost - premium. Per share, before fees.</t>
  </si>
  <si>
    <t xml:space="preserve">Option P/L (after fees)</t>
  </si>
  <si>
    <t xml:space="preserve">Net premium at open + closing cash flow - fees. Expired or assigned: the closing cash flow is 0 (the option leg ends).</t>
  </si>
  <si>
    <t xml:space="preserve">Share P/L on assignment</t>
  </si>
  <si>
    <t xml:space="preserve">Covered call assigned only: (strike - share cost) x multiplier x contracts. Assigned cash-secured puts leave you holding shares: their P/L is not realized yet, track them separately.</t>
  </si>
  <si>
    <t xml:space="preserve">Capital at risk</t>
  </si>
  <si>
    <t xml:space="preserve">Long call/put: premium paid. Cash-secured put: (strike - premium) x 100 x contracts. Covered call: (share cost - premium) x 100 x contracts. This is the most you can lose on the position if the stock goes to zero (puts/covered calls) or the option expires worthless (long options), before fees.</t>
  </si>
  <si>
    <t xml:space="preserve">Return on capital at risk</t>
  </si>
  <si>
    <t xml:space="preserve">Realized P/L / capital at risk.</t>
  </si>
  <si>
    <t xml:space="preserve">Annualized return (simple)</t>
  </si>
  <si>
    <t xml:space="preserve">Return on capital x 365 / days held (minimum 1 day). Simple, not compounded. Short holds produce very large annualized numbers; they are not a forecast.</t>
  </si>
  <si>
    <t xml:space="preserve">Days held / to expiry</t>
  </si>
  <si>
    <t xml:space="preserve">Realized: close date (or expiration if blank) - open date. Open: As of date - open date; days to expiry = expiration - As of date.</t>
  </si>
  <si>
    <t xml:space="preserve">Colour key</t>
  </si>
  <si>
    <t xml:space="preserve">Yellow cells = inputs. Grey cells = formulas (do not overwrite). Purple = headers.</t>
  </si>
  <si>
    <t xml:space="preserve">Limits</t>
  </si>
  <si>
    <t xml:space="preserve">Single-leg positions only (no spreads). Open trades are not marked to market: there is no live price feed. Taxes are not modelled. Uncovered (naked) calls are not included because their loss is theoretically unlimited.</t>
  </si>
  <si>
    <t xml:space="preserve">Sources</t>
  </si>
  <si>
    <t xml:space="preserve">FINRA, Options (finra.org/investors/investing/investment-products/options): 'A standard-size options contract is equal to 100 shares of the underlying security.' Investor.gov, An Introduction to Options - Investor Bulletin. OCC, Characteristics and Risks of Standardized Options (theocc.com). Retrieved 25 Oct 2026.</t>
  </si>
  <si>
    <t xml:space="preserve">Disclaimer</t>
  </si>
  <si>
    <t xml:space="preserve">Educational template only. Not financial, investment or tax advice. Options involve risk and are not suitable for all investors. Read the Characteristics and Risks of Standardized Options before trading options. Check every number against your broker statements.</t>
  </si>
  <si>
    <t xml:space="preserve">Options trades</t>
  </si>
  <si>
    <t xml:space="preserve">As of date</t>
  </si>
  <si>
    <t xml:space="preserve">&lt;- type today's date (or =TODAY()). Drives days held and days to expiry for open trades.</t>
  </si>
  <si>
    <t xml:space="preserve">Contract multiplier</t>
  </si>
  <si>
    <t xml:space="preserve">&lt;- 100 shares per standard equity option contract. Change only for adjusted/non-standard contracts.</t>
  </si>
  <si>
    <t xml:space="preserve">Yellow = you type. Grey = formula, do not overwrite. One row = one single-leg position. Fees = all commissions and fees for the round trip.</t>
  </si>
  <si>
    <t xml:space="preserve">Open date</t>
  </si>
  <si>
    <t xml:space="preserve">Ticker</t>
  </si>
  <si>
    <t xml:space="preserve">Strategy</t>
  </si>
  <si>
    <t xml:space="preserve">Call / put</t>
  </si>
  <si>
    <t xml:space="preserve">Buy / sell to open</t>
  </si>
  <si>
    <t xml:space="preserve">Strike</t>
  </si>
  <si>
    <t xml:space="preserve">Expiration</t>
  </si>
  <si>
    <t xml:space="preserve">Contracts</t>
  </si>
  <si>
    <t xml:space="preserve">Premium per share (open)</t>
  </si>
  <si>
    <t xml:space="preserve">Stock price at open (covered call: your share cost)</t>
  </si>
  <si>
    <t xml:space="preserve">Fees (open + close)</t>
  </si>
  <si>
    <t xml:space="preserve">Status</t>
  </si>
  <si>
    <t xml:space="preserve">Close date</t>
  </si>
  <si>
    <t xml:space="preserve">Close premium per share</t>
  </si>
  <si>
    <t xml:space="preserve">Net premium at open (+ received / - paid)</t>
  </si>
  <si>
    <t xml:space="preserve">Days held</t>
  </si>
  <si>
    <t xml:space="preserve">Days to expiry</t>
  </si>
  <si>
    <t xml:space="preserve">Closing cash flow</t>
  </si>
  <si>
    <t xml:space="preserve">Share P/L on covered-call assignment</t>
  </si>
  <si>
    <t xml:space="preserve">Realized P/L</t>
  </si>
  <si>
    <t xml:space="preserve">Realized date</t>
  </si>
  <si>
    <t xml:space="preserve">State</t>
  </si>
  <si>
    <t xml:space="preserve">Options summary</t>
  </si>
  <si>
    <t xml:space="preserve">All figures come from the Trades tab. Realized = Closed, Expired or Assigned. Open trades are excluded from P/L.</t>
  </si>
  <si>
    <t xml:space="preserve">Trades</t>
  </si>
  <si>
    <t xml:space="preserve">Open</t>
  </si>
  <si>
    <t xml:space="preserve">Realized</t>
  </si>
  <si>
    <t xml:space="preserve">Realized with profit</t>
  </si>
  <si>
    <t xml:space="preserve">Fees (realized)</t>
  </si>
  <si>
    <t xml:space="preserve">Capital at risk (realized)</t>
  </si>
  <si>
    <t xml:space="preserve">Avg days held (realized)</t>
  </si>
  <si>
    <t xml:space="preserve">Long call</t>
  </si>
  <si>
    <t xml:space="preserve">Long put</t>
  </si>
  <si>
    <t xml:space="preserve">Covered call</t>
  </si>
  <si>
    <t xml:space="preserve">Cash-secured put</t>
  </si>
  <si>
    <t xml:space="preserve">Total</t>
  </si>
  <si>
    <t xml:space="preserve">Open positions</t>
  </si>
  <si>
    <t xml:space="preserve">Open trades</t>
  </si>
  <si>
    <t xml:space="preserve">Net premium of open trades (+ received / - paid)</t>
  </si>
  <si>
    <t xml:space="preserve">Capital at risk in open trades</t>
  </si>
  <si>
    <t xml:space="preserve">Open trades expiring within 7 days</t>
  </si>
  <si>
    <t xml:space="preserve">Realized P/L by month</t>
  </si>
  <si>
    <t xml:space="preserve">Year</t>
  </si>
  <si>
    <t xml:space="preserve">&lt;- type a year</t>
  </si>
  <si>
    <t xml:space="preserve">Month</t>
  </si>
  <si>
    <t xml:space="preserve">Trades realized</t>
  </si>
  <si>
    <t xml:space="preserve">Example options trades (fictional)</t>
  </si>
  <si>
    <t xml:space="preserve">ORVX</t>
  </si>
  <si>
    <t xml:space="preserve">Expired</t>
  </si>
  <si>
    <t xml:space="preserve">KLMT</t>
  </si>
  <si>
    <t xml:space="preserve">Closed</t>
  </si>
  <si>
    <t xml:space="preserve">BNDQ</t>
  </si>
  <si>
    <t xml:space="preserve">Assigned</t>
  </si>
  <si>
    <t xml:space="preserve">ZEPH</t>
  </si>
  <si>
    <t xml:space="preserve">TRLA</t>
  </si>
  <si>
    <t xml:space="preserve">Example summary (fictional data)</t>
  </si>
  <si>
    <t xml:space="preserve">All figures come from the Example Trades tab. Realized = Closed, Expired or Assigned. Open trades are excluded from P/L.</t>
  </si>
</sst>
</file>

<file path=xl/styles.xml><?xml version="1.0" encoding="utf-8"?>
<styleSheet xmlns="http://schemas.openxmlformats.org/spreadsheetml/2006/main">
  <numFmts count="8">
    <numFmt numFmtId="164" formatCode="General"/>
    <numFmt numFmtId="165" formatCode="yyyy\-mm\-dd"/>
    <numFmt numFmtId="166" formatCode="\$#,##0.00;[RED]&quot;-$&quot;#,##0.00"/>
    <numFmt numFmtId="167" formatCode="0"/>
    <numFmt numFmtId="168" formatCode="0.00%;[RED]\-0.00%"/>
    <numFmt numFmtId="169" formatCode="0.0"/>
    <numFmt numFmtId="170" formatCode="mmm\ yyyy"/>
    <numFmt numFmtId="171" formatCode="\$#,##0"/>
  </numFmts>
  <fonts count="12">
    <font>
      <sz val="11"/>
      <color theme="1"/>
      <name val="Calibri"/>
      <family val="2"/>
      <charset val="1"/>
    </font>
    <font>
      <sz val="10"/>
      <name val="Arial"/>
      <family val="0"/>
    </font>
    <font>
      <sz val="10"/>
      <name val="Arial"/>
      <family val="0"/>
    </font>
    <font>
      <sz val="10"/>
      <name val="Arial"/>
      <family val="0"/>
    </font>
    <font>
      <b val="true"/>
      <sz val="16"/>
      <color rgb="FF4847C1"/>
      <name val="Cambria"/>
      <family val="0"/>
      <charset val="1"/>
    </font>
    <font>
      <b val="true"/>
      <sz val="11"/>
      <name val="Cambria"/>
      <family val="0"/>
      <charset val="1"/>
    </font>
    <font>
      <b val="true"/>
      <sz val="13"/>
      <color rgb="FF4847C1"/>
      <name val="Cambria"/>
      <family val="0"/>
      <charset val="1"/>
    </font>
    <font>
      <i val="true"/>
      <sz val="11"/>
      <color rgb="FF555566"/>
      <name val="Cambria"/>
      <family val="0"/>
      <charset val="1"/>
    </font>
    <font>
      <b val="true"/>
      <sz val="11"/>
      <color rgb="FFFFFFFF"/>
      <name val="Cambria"/>
      <family val="0"/>
      <charset val="1"/>
    </font>
    <font>
      <b val="true"/>
      <sz val="18"/>
      <color rgb="FF000000"/>
      <name val="Calibri"/>
      <family val="2"/>
    </font>
    <font>
      <sz val="10"/>
      <color rgb="FF000000"/>
      <name val="Calibri"/>
      <family val="2"/>
    </font>
    <font>
      <b val="true"/>
      <sz val="10"/>
      <color rgb="FF000000"/>
      <name val="Calibri"/>
      <family val="2"/>
    </font>
  </fonts>
  <fills count="6">
    <fill>
      <patternFill patternType="none"/>
    </fill>
    <fill>
      <patternFill patternType="gray125"/>
    </fill>
    <fill>
      <patternFill patternType="solid">
        <fgColor rgb="FFFFF7E0"/>
        <bgColor rgb="FFF4F4FC"/>
      </patternFill>
    </fill>
    <fill>
      <patternFill patternType="solid">
        <fgColor rgb="FF4847C1"/>
        <bgColor rgb="FF555566"/>
      </patternFill>
    </fill>
    <fill>
      <patternFill patternType="solid">
        <fgColor rgb="FFF4F4FC"/>
        <bgColor rgb="FFFFFFFF"/>
      </patternFill>
    </fill>
    <fill>
      <patternFill patternType="solid">
        <fgColor rgb="FFE6E6F7"/>
        <bgColor rgb="FFDEDEEC"/>
      </patternFill>
    </fill>
  </fills>
  <borders count="3">
    <border diagonalUp="false" diagonalDown="false">
      <left/>
      <right/>
      <top/>
      <bottom/>
      <diagonal/>
    </border>
    <border diagonalUp="false" diagonalDown="false">
      <left style="thin">
        <color rgb="FFDEDEEC"/>
      </left>
      <right style="thin">
        <color rgb="FFDEDEEC"/>
      </right>
      <top style="thin">
        <color rgb="FFDEDEEC"/>
      </top>
      <bottom style="thin">
        <color rgb="FFDEDEEC"/>
      </bottom>
      <diagonal/>
    </border>
    <border diagonalUp="false" diagonalDown="false">
      <left style="thin">
        <color rgb="FFDEDEEC"/>
      </left>
      <right/>
      <top style="thin">
        <color rgb="FFDEDEEC"/>
      </top>
      <bottom style="thin">
        <color rgb="FFDEDEE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0" fillId="2"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6" fontId="0" fillId="2" borderId="1" xfId="0" applyFont="false" applyBorder="true" applyAlignment="false" applyProtection="false">
      <alignment horizontal="general" vertical="bottom" textRotation="0" wrapText="false" indent="0" shrinkToFit="false"/>
      <protection locked="true" hidden="false"/>
    </xf>
    <xf numFmtId="167" fontId="0" fillId="2" borderId="1" xfId="0" applyFont="false" applyBorder="true" applyAlignment="false" applyProtection="false">
      <alignment horizontal="general" vertical="bottom" textRotation="0" wrapText="false" indent="0" shrinkToFit="false"/>
      <protection locked="true" hidden="false"/>
    </xf>
    <xf numFmtId="166" fontId="0" fillId="4" borderId="1" xfId="0" applyFont="false" applyBorder="true" applyAlignment="false" applyProtection="false">
      <alignment horizontal="general" vertical="bottom" textRotation="0" wrapText="false" indent="0" shrinkToFit="false"/>
      <protection locked="true" hidden="false"/>
    </xf>
    <xf numFmtId="167" fontId="0" fillId="4" borderId="1" xfId="0" applyFont="false" applyBorder="true" applyAlignment="false" applyProtection="false">
      <alignment horizontal="general" vertical="bottom" textRotation="0" wrapText="false" indent="0" shrinkToFit="false"/>
      <protection locked="true" hidden="false"/>
    </xf>
    <xf numFmtId="168" fontId="0" fillId="4" borderId="1" xfId="0" applyFont="false" applyBorder="true" applyAlignment="false" applyProtection="false">
      <alignment horizontal="general" vertical="bottom" textRotation="0" wrapText="false" indent="0" shrinkToFit="false"/>
      <protection locked="true" hidden="false"/>
    </xf>
    <xf numFmtId="165" fontId="0" fillId="4"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7" fontId="0" fillId="0" borderId="1" xfId="0" applyFont="fals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8" fontId="0" fillId="0" borderId="1" xfId="0" applyFont="false" applyBorder="true" applyAlignment="false" applyProtection="false">
      <alignment horizontal="general" vertical="bottom" textRotation="0" wrapText="false" indent="0" shrinkToFit="false"/>
      <protection locked="true" hidden="false"/>
    </xf>
    <xf numFmtId="169" fontId="0" fillId="0" borderId="1" xfId="0" applyFont="false" applyBorder="true" applyAlignment="false" applyProtection="false">
      <alignment horizontal="general" vertical="bottom" textRotation="0" wrapText="false" indent="0" shrinkToFit="false"/>
      <protection locked="true" hidden="false"/>
    </xf>
    <xf numFmtId="164" fontId="5" fillId="5" borderId="1" xfId="0" applyFont="true" applyBorder="true" applyAlignment="false" applyProtection="false">
      <alignment horizontal="general" vertical="bottom" textRotation="0" wrapText="false" indent="0" shrinkToFit="false"/>
      <protection locked="true" hidden="false"/>
    </xf>
    <xf numFmtId="167" fontId="5" fillId="5" borderId="1" xfId="0" applyFont="true" applyBorder="true" applyAlignment="false" applyProtection="false">
      <alignment horizontal="general" vertical="bottom" textRotation="0" wrapText="false" indent="0" shrinkToFit="false"/>
      <protection locked="true" hidden="false"/>
    </xf>
    <xf numFmtId="166" fontId="5" fillId="5" borderId="1" xfId="0" applyFont="true" applyBorder="true" applyAlignment="false" applyProtection="false">
      <alignment horizontal="general" vertical="bottom" textRotation="0" wrapText="false" indent="0" shrinkToFit="false"/>
      <protection locked="true" hidden="false"/>
    </xf>
    <xf numFmtId="168" fontId="5" fillId="5" borderId="1" xfId="0" applyFont="true" applyBorder="true" applyAlignment="false" applyProtection="false">
      <alignment horizontal="general" vertical="bottom" textRotation="0" wrapText="false" indent="0" shrinkToFit="false"/>
      <protection locked="true" hidden="false"/>
    </xf>
    <xf numFmtId="169" fontId="5" fillId="5"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70" fontId="0" fillId="0" borderId="1" xfId="0" applyFont="false" applyBorder="true" applyAlignment="false" applyProtection="false">
      <alignment horizontal="general" vertical="bottom" textRotation="0" wrapText="false" indent="0" shrinkToFit="false"/>
      <protection locked="true" hidden="false"/>
    </xf>
    <xf numFmtId="164" fontId="0" fillId="2"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color rgb="FFB42318"/>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FF7E0"/>
      <rgbColor rgb="FFF4F4FC"/>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6E6F7"/>
      <rgbColor rgb="FFDEDEEC"/>
      <rgbColor rgb="FFFFFF99"/>
      <rgbColor rgb="FF99CCFF"/>
      <rgbColor rgb="FFFF99CC"/>
      <rgbColor rgb="FFCC99FF"/>
      <rgbColor rgb="FFFFCC99"/>
      <rgbColor rgb="FF3366FF"/>
      <rgbColor rgb="FF33CCCC"/>
      <rgbColor rgb="FF99CC00"/>
      <rgbColor rgb="FFFFCC00"/>
      <rgbColor rgb="FFFF9900"/>
      <rgbColor rgb="FFFF6600"/>
      <rgbColor rgb="FF555566"/>
      <rgbColor rgb="FF969696"/>
      <rgbColor rgb="FF003366"/>
      <rgbColor rgb="FF339966"/>
      <rgbColor rgb="FF003300"/>
      <rgbColor rgb="FF333300"/>
      <rgbColor rgb="FFB42318"/>
      <rgbColor rgb="FF993366"/>
      <rgbColor rgb="FF4847C1"/>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Realized P/L by month</a:t>
            </a:r>
          </a:p>
        </c:rich>
      </c:tx>
      <c:overlay val="0"/>
      <c:spPr>
        <a:noFill/>
        <a:ln w="0">
          <a:noFill/>
        </a:ln>
      </c:spPr>
    </c:title>
    <c:autoTitleDeleted val="0"/>
    <c:plotArea>
      <c:barChart>
        <c:barDir val="col"/>
        <c:grouping val="clustered"/>
        <c:varyColors val="0"/>
        <c:ser>
          <c:idx val="0"/>
          <c:order val="0"/>
          <c:tx>
            <c:strRef>
              <c:f>Summary!B20</c:f>
              <c:strCache>
                <c:ptCount val="1"/>
                <c:pt idx="0">
                  <c:v>Realized P/L</c:v>
                </c:pt>
              </c:strCache>
            </c:strRef>
          </c:tx>
          <c:spPr>
            <a:solidFill>
              <a:srgbClr val="4847c1"/>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Summary!$A$21:$A$32</c:f>
              <c:strCache>
                <c:ptCount val="12"/>
                <c:pt idx="0">
                  <c:v>Jan 2026</c:v>
                </c:pt>
                <c:pt idx="1">
                  <c:v>Feb 2026</c:v>
                </c:pt>
                <c:pt idx="2">
                  <c:v>Mar 2026</c:v>
                </c:pt>
                <c:pt idx="3">
                  <c:v>Apr 2026</c:v>
                </c:pt>
                <c:pt idx="4">
                  <c:v>May 2026</c:v>
                </c:pt>
                <c:pt idx="5">
                  <c:v>Jun 2026</c:v>
                </c:pt>
                <c:pt idx="6">
                  <c:v>Jul 2026</c:v>
                </c:pt>
                <c:pt idx="7">
                  <c:v>Aug 2026</c:v>
                </c:pt>
                <c:pt idx="8">
                  <c:v>Sep 2026</c:v>
                </c:pt>
                <c:pt idx="9">
                  <c:v>Oct 2026</c:v>
                </c:pt>
                <c:pt idx="10">
                  <c:v>Nov 2026</c:v>
                </c:pt>
                <c:pt idx="11">
                  <c:v>Dec 2026</c:v>
                </c:pt>
              </c:strCache>
            </c:strRef>
          </c:cat>
          <c:val>
            <c:numRef>
              <c:f>Summary!$B$21:$B$32</c:f>
              <c:numCache>
                <c:formatCode>\$#,##0.00;[RED]"-$"#,##0.00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0"/>
        <c:axId val="7431362"/>
        <c:axId val="9897168"/>
      </c:barChart>
      <c:catAx>
        <c:axId val="7431362"/>
        <c:scaling>
          <c:orientation val="minMax"/>
        </c:scaling>
        <c:delete val="0"/>
        <c:axPos val="b"/>
        <c:numFmt formatCode="mmm" sourceLinked="0"/>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9897168"/>
        <c:crosses val="autoZero"/>
        <c:auto val="1"/>
        <c:lblAlgn val="ctr"/>
        <c:lblOffset val="100"/>
        <c:noMultiLvlLbl val="0"/>
      </c:catAx>
      <c:valAx>
        <c:axId val="9897168"/>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USD</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43136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Realized P/L by month</a:t>
            </a:r>
          </a:p>
        </c:rich>
      </c:tx>
      <c:overlay val="0"/>
      <c:spPr>
        <a:noFill/>
        <a:ln w="0">
          <a:noFill/>
        </a:ln>
      </c:spPr>
    </c:title>
    <c:autoTitleDeleted val="0"/>
    <c:plotArea>
      <c:barChart>
        <c:barDir val="col"/>
        <c:grouping val="clustered"/>
        <c:varyColors val="0"/>
        <c:ser>
          <c:idx val="0"/>
          <c:order val="0"/>
          <c:tx>
            <c:strRef>
              <c:f>'Example Summary'!B20</c:f>
              <c:strCache>
                <c:ptCount val="1"/>
                <c:pt idx="0">
                  <c:v>Realized P/L</c:v>
                </c:pt>
              </c:strCache>
            </c:strRef>
          </c:tx>
          <c:spPr>
            <a:solidFill>
              <a:srgbClr val="4847c1"/>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'Example Summary'!$A$21:$A$32</c:f>
              <c:strCache>
                <c:ptCount val="12"/>
                <c:pt idx="0">
                  <c:v>Jan 2026</c:v>
                </c:pt>
                <c:pt idx="1">
                  <c:v>Feb 2026</c:v>
                </c:pt>
                <c:pt idx="2">
                  <c:v>Mar 2026</c:v>
                </c:pt>
                <c:pt idx="3">
                  <c:v>Apr 2026</c:v>
                </c:pt>
                <c:pt idx="4">
                  <c:v>May 2026</c:v>
                </c:pt>
                <c:pt idx="5">
                  <c:v>Jun 2026</c:v>
                </c:pt>
                <c:pt idx="6">
                  <c:v>Jul 2026</c:v>
                </c:pt>
                <c:pt idx="7">
                  <c:v>Aug 2026</c:v>
                </c:pt>
                <c:pt idx="8">
                  <c:v>Sep 2026</c:v>
                </c:pt>
                <c:pt idx="9">
                  <c:v>Oct 2026</c:v>
                </c:pt>
                <c:pt idx="10">
                  <c:v>Nov 2026</c:v>
                </c:pt>
                <c:pt idx="11">
                  <c:v>Dec 2026</c:v>
                </c:pt>
              </c:strCache>
            </c:strRef>
          </c:cat>
          <c:val>
            <c:numRef>
              <c:f>'Example Summary'!$B$21:$B$32</c:f>
              <c:numCache>
                <c:formatCode>\$#,##0.00;[RED]"-$"#,##0.00</c:formatCode>
                <c:ptCount val="12"/>
                <c:pt idx="0">
                  <c:v>0</c:v>
                </c:pt>
                <c:pt idx="1">
                  <c:v>546.1</c:v>
                </c:pt>
                <c:pt idx="2">
                  <c:v>948.499999999999</c:v>
                </c:pt>
                <c:pt idx="3">
                  <c:v>-462.6</c:v>
                </c:pt>
                <c:pt idx="4">
                  <c:v>247.4</c:v>
                </c:pt>
                <c:pt idx="5">
                  <c:v>187.4</c:v>
                </c:pt>
                <c:pt idx="6">
                  <c:v>0</c:v>
                </c:pt>
                <c:pt idx="7">
                  <c:v>226.1</c:v>
                </c:pt>
                <c:pt idx="8">
                  <c:v>182.8</c:v>
                </c:pt>
                <c:pt idx="9">
                  <c:v>0</c:v>
                </c:pt>
                <c:pt idx="10">
                  <c:v>0</c:v>
                </c:pt>
                <c:pt idx="11">
                  <c:v>0</c:v>
                </c:pt>
              </c:numCache>
            </c:numRef>
          </c:val>
        </c:ser>
        <c:gapWidth val="150"/>
        <c:overlap val="0"/>
        <c:axId val="81676040"/>
        <c:axId val="73008118"/>
      </c:barChart>
      <c:catAx>
        <c:axId val="81676040"/>
        <c:scaling>
          <c:orientation val="minMax"/>
        </c:scaling>
        <c:delete val="0"/>
        <c:axPos val="b"/>
        <c:numFmt formatCode="mmm" sourceLinked="0"/>
        <c:majorTickMark val="none"/>
        <c:minorTickMark val="none"/>
        <c:tickLblPos val="low"/>
        <c:spPr>
          <a:ln w="9360">
            <a:solidFill>
              <a:srgbClr val="878787"/>
            </a:solidFill>
            <a:round/>
          </a:ln>
        </c:spPr>
        <c:txPr>
          <a:bodyPr/>
          <a:lstStyle/>
          <a:p>
            <a:pPr>
              <a:defRPr b="0" sz="1000" spc="-1" strike="noStrike">
                <a:solidFill>
                  <a:srgbClr val="000000"/>
                </a:solidFill>
                <a:latin typeface="Calibri"/>
              </a:defRPr>
            </a:pPr>
          </a:p>
        </c:txPr>
        <c:crossAx val="73008118"/>
        <c:crosses val="autoZero"/>
        <c:auto val="1"/>
        <c:lblAlgn val="ctr"/>
        <c:lblOffset val="100"/>
        <c:noMultiLvlLbl val="0"/>
      </c:catAx>
      <c:valAx>
        <c:axId val="73008118"/>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USD</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167604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16</xdr:row>
      <xdr:rowOff>116280</xdr:rowOff>
    </xdr:from>
    <xdr:to>
      <xdr:col>11</xdr:col>
      <xdr:colOff>370440</xdr:colOff>
      <xdr:row>30</xdr:row>
      <xdr:rowOff>104760</xdr:rowOff>
    </xdr:to>
    <xdr:graphicFrame>
      <xdr:nvGraphicFramePr>
        <xdr:cNvPr id="0" name="Chart 1"/>
        <xdr:cNvGraphicFramePr/>
      </xdr:nvGraphicFramePr>
      <xdr:xfrm>
        <a:off x="3876840" y="3629160"/>
        <a:ext cx="647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16</xdr:row>
      <xdr:rowOff>116280</xdr:rowOff>
    </xdr:from>
    <xdr:to>
      <xdr:col>11</xdr:col>
      <xdr:colOff>370440</xdr:colOff>
      <xdr:row>30</xdr:row>
      <xdr:rowOff>104760</xdr:rowOff>
    </xdr:to>
    <xdr:graphicFrame>
      <xdr:nvGraphicFramePr>
        <xdr:cNvPr id="1" name="Chart 1"/>
        <xdr:cNvGraphicFramePr/>
      </xdr:nvGraphicFramePr>
      <xdr:xfrm>
        <a:off x="3876840" y="3629160"/>
        <a:ext cx="647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95"/>
  </cols>
  <sheetData>
    <row r="1" customFormat="false" ht="37.3" hidden="false" customHeight="false" outlineLevel="0" collapsed="false">
      <c r="A1" s="1" t="s">
        <v>0</v>
      </c>
      <c r="B1" s="2"/>
    </row>
    <row r="2" customFormat="false" ht="15" hidden="false" customHeight="false" outlineLevel="0" collapsed="false">
      <c r="A2" s="3" t="s">
        <v>1</v>
      </c>
      <c r="B2" s="2" t="s">
        <v>2</v>
      </c>
    </row>
    <row r="3" customFormat="false" ht="41.75" hidden="false" customHeight="false" outlineLevel="0" collapsed="false">
      <c r="A3" s="3" t="s">
        <v>3</v>
      </c>
      <c r="B3" s="2" t="s">
        <v>4</v>
      </c>
    </row>
    <row r="4" customFormat="false" ht="28.35" hidden="false" customHeight="false" outlineLevel="0" collapsed="false">
      <c r="A4" s="3" t="s">
        <v>5</v>
      </c>
      <c r="B4" s="2" t="s">
        <v>6</v>
      </c>
    </row>
    <row r="5" customFormat="false" ht="15" hidden="false" customHeight="false" outlineLevel="0" collapsed="false">
      <c r="A5" s="2"/>
      <c r="B5" s="2"/>
    </row>
    <row r="6" customFormat="false" ht="16.15" hidden="false" customHeight="false" outlineLevel="0" collapsed="false">
      <c r="A6" s="4" t="s">
        <v>7</v>
      </c>
      <c r="B6" s="2"/>
    </row>
    <row r="7" customFormat="false" ht="15" hidden="false" customHeight="false" outlineLevel="0" collapsed="false">
      <c r="A7" s="3" t="s">
        <v>8</v>
      </c>
      <c r="B7" s="2" t="s">
        <v>9</v>
      </c>
    </row>
    <row r="8" customFormat="false" ht="28.35" hidden="false" customHeight="false" outlineLevel="0" collapsed="false">
      <c r="A8" s="3" t="s">
        <v>10</v>
      </c>
      <c r="B8" s="2" t="s">
        <v>11</v>
      </c>
    </row>
    <row r="9" customFormat="false" ht="15" hidden="false" customHeight="false" outlineLevel="0" collapsed="false">
      <c r="A9" s="3" t="s">
        <v>12</v>
      </c>
      <c r="B9" s="2" t="s">
        <v>13</v>
      </c>
    </row>
    <row r="10" customFormat="false" ht="28.35" hidden="false" customHeight="false" outlineLevel="0" collapsed="false">
      <c r="A10" s="3" t="s">
        <v>14</v>
      </c>
      <c r="B10" s="2" t="s">
        <v>15</v>
      </c>
    </row>
    <row r="11" customFormat="false" ht="28.35" hidden="false" customHeight="false" outlineLevel="0" collapsed="false">
      <c r="A11" s="3" t="s">
        <v>16</v>
      </c>
      <c r="B11" s="2" t="s">
        <v>17</v>
      </c>
    </row>
    <row r="12" customFormat="false" ht="15" hidden="false" customHeight="false" outlineLevel="0" collapsed="false">
      <c r="A12" s="3" t="s">
        <v>18</v>
      </c>
      <c r="B12" s="2" t="s">
        <v>19</v>
      </c>
    </row>
    <row r="13" customFormat="false" ht="28.35" hidden="false" customHeight="false" outlineLevel="0" collapsed="false">
      <c r="A13" s="3" t="s">
        <v>20</v>
      </c>
      <c r="B13" s="2" t="s">
        <v>21</v>
      </c>
    </row>
    <row r="14" customFormat="false" ht="15" hidden="false" customHeight="false" outlineLevel="0" collapsed="false">
      <c r="A14" s="2"/>
      <c r="B14" s="2"/>
    </row>
    <row r="15" customFormat="false" ht="16.15" hidden="false" customHeight="false" outlineLevel="0" collapsed="false">
      <c r="A15" s="4" t="s">
        <v>22</v>
      </c>
      <c r="B15" s="2"/>
    </row>
    <row r="16" customFormat="false" ht="28.35" hidden="false" customHeight="false" outlineLevel="0" collapsed="false">
      <c r="A16" s="3" t="s">
        <v>23</v>
      </c>
      <c r="B16" s="2" t="s">
        <v>24</v>
      </c>
    </row>
    <row r="17" customFormat="false" ht="28.35" hidden="false" customHeight="false" outlineLevel="0" collapsed="false">
      <c r="A17" s="3" t="s">
        <v>25</v>
      </c>
      <c r="B17" s="2" t="s">
        <v>26</v>
      </c>
    </row>
    <row r="18" customFormat="false" ht="28.35" hidden="false" customHeight="false" outlineLevel="0" collapsed="false">
      <c r="A18" s="3" t="s">
        <v>27</v>
      </c>
      <c r="B18" s="2" t="s">
        <v>28</v>
      </c>
    </row>
    <row r="19" customFormat="false" ht="28.35" hidden="false" customHeight="false" outlineLevel="0" collapsed="false">
      <c r="A19" s="3" t="s">
        <v>29</v>
      </c>
      <c r="B19" s="2" t="s">
        <v>30</v>
      </c>
    </row>
    <row r="20" customFormat="false" ht="41.75" hidden="false" customHeight="false" outlineLevel="0" collapsed="false">
      <c r="A20" s="3" t="s">
        <v>31</v>
      </c>
      <c r="B20" s="2" t="s">
        <v>32</v>
      </c>
    </row>
    <row r="21" customFormat="false" ht="15" hidden="false" customHeight="false" outlineLevel="0" collapsed="false">
      <c r="A21" s="3" t="s">
        <v>33</v>
      </c>
      <c r="B21" s="2" t="s">
        <v>34</v>
      </c>
    </row>
    <row r="22" customFormat="false" ht="28.35" hidden="false" customHeight="false" outlineLevel="0" collapsed="false">
      <c r="A22" s="3" t="s">
        <v>35</v>
      </c>
      <c r="B22" s="2" t="s">
        <v>36</v>
      </c>
    </row>
    <row r="23" customFormat="false" ht="28.35" hidden="false" customHeight="false" outlineLevel="0" collapsed="false">
      <c r="A23" s="3" t="s">
        <v>37</v>
      </c>
      <c r="B23" s="2" t="s">
        <v>38</v>
      </c>
    </row>
    <row r="24" customFormat="false" ht="15" hidden="false" customHeight="false" outlineLevel="0" collapsed="false">
      <c r="A24" s="2"/>
      <c r="B24" s="2"/>
    </row>
    <row r="25" customFormat="false" ht="15" hidden="false" customHeight="false" outlineLevel="0" collapsed="false">
      <c r="A25" s="3" t="s">
        <v>39</v>
      </c>
      <c r="B25" s="2" t="s">
        <v>40</v>
      </c>
    </row>
    <row r="26" customFormat="false" ht="28.35" hidden="false" customHeight="false" outlineLevel="0" collapsed="false">
      <c r="A26" s="3" t="s">
        <v>41</v>
      </c>
      <c r="B26" s="2" t="s">
        <v>42</v>
      </c>
    </row>
    <row r="27" customFormat="false" ht="41.75" hidden="false" customHeight="false" outlineLevel="0" collapsed="false">
      <c r="A27" s="3" t="s">
        <v>43</v>
      </c>
      <c r="B27" s="2" t="s">
        <v>44</v>
      </c>
    </row>
    <row r="28" customFormat="false" ht="41.75" hidden="false" customHeight="false" outlineLevel="0" collapsed="false">
      <c r="A28" s="3" t="s">
        <v>45</v>
      </c>
      <c r="B28" s="2" t="s">
        <v>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2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9"/>
    <col collapsed="false" customWidth="true" hidden="false" outlineLevel="0" max="3" min="3" style="0" width="17"/>
    <col collapsed="false" customWidth="true" hidden="false" outlineLevel="0" max="4" min="4" style="0" width="9"/>
    <col collapsed="false" customWidth="true" hidden="false" outlineLevel="0" max="5" min="5" style="0" width="13"/>
    <col collapsed="false" customWidth="true" hidden="false" outlineLevel="0" max="6" min="6" style="0" width="10"/>
    <col collapsed="false" customWidth="true" hidden="false" outlineLevel="0" max="7" min="7" style="0" width="12"/>
    <col collapsed="false" customWidth="true" hidden="false" outlineLevel="0" max="8" min="8" style="0" width="10"/>
    <col collapsed="false" customWidth="true" hidden="false" outlineLevel="0" max="9" min="9" style="0" width="12"/>
    <col collapsed="false" customWidth="true" hidden="false" outlineLevel="0" max="10" min="10" style="0" width="15"/>
    <col collapsed="false" customWidth="true" hidden="false" outlineLevel="0" max="12" min="11" style="0" width="11"/>
    <col collapsed="false" customWidth="true" hidden="false" outlineLevel="0" max="14" min="13" style="0" width="12"/>
    <col collapsed="false" customWidth="true" hidden="false" outlineLevel="0" max="15" min="15" style="0" width="15"/>
    <col collapsed="false" customWidth="true" hidden="false" outlineLevel="0" max="16" min="16" style="0" width="12"/>
    <col collapsed="false" customWidth="true" hidden="false" outlineLevel="0" max="18" min="17" style="0" width="9"/>
    <col collapsed="false" customWidth="true" hidden="false" outlineLevel="0" max="20" min="19" style="0" width="13"/>
    <col collapsed="false" customWidth="true" hidden="false" outlineLevel="0" max="21" min="21" style="0" width="14"/>
    <col collapsed="false" customWidth="true" hidden="false" outlineLevel="0" max="23" min="22" style="0" width="13"/>
    <col collapsed="false" customWidth="true" hidden="false" outlineLevel="0" max="25" min="24" style="0" width="11"/>
    <col collapsed="false" customWidth="true" hidden="false" outlineLevel="0" max="26" min="26" style="0" width="12"/>
    <col collapsed="false" customWidth="true" hidden="false" outlineLevel="0" max="27" min="27" style="0" width="10"/>
  </cols>
  <sheetData>
    <row r="1" customFormat="false" ht="19.7" hidden="false" customHeight="false" outlineLevel="0" collapsed="false">
      <c r="A1" s="5" t="s">
        <v>47</v>
      </c>
    </row>
    <row r="2" customFormat="false" ht="15" hidden="false" customHeight="false" outlineLevel="0" collapsed="false">
      <c r="A2" s="6" t="s">
        <v>48</v>
      </c>
      <c r="B2" s="7" t="n">
        <v>46320</v>
      </c>
      <c r="C2" s="8" t="s">
        <v>49</v>
      </c>
      <c r="D2" s="6" t="s">
        <v>50</v>
      </c>
      <c r="E2" s="9" t="n">
        <v>100</v>
      </c>
      <c r="F2" s="8" t="s">
        <v>51</v>
      </c>
    </row>
    <row r="3" customFormat="false" ht="15" hidden="false" customHeight="false" outlineLevel="0" collapsed="false">
      <c r="A3" s="10" t="s">
        <v>52</v>
      </c>
    </row>
    <row r="4" customFormat="false" ht="61.5" hidden="false" customHeight="true" outlineLevel="0" collapsed="false">
      <c r="A4" s="11" t="s">
        <v>53</v>
      </c>
      <c r="B4" s="11" t="s">
        <v>54</v>
      </c>
      <c r="C4" s="11" t="s">
        <v>55</v>
      </c>
      <c r="D4" s="11" t="s">
        <v>56</v>
      </c>
      <c r="E4" s="11" t="s">
        <v>57</v>
      </c>
      <c r="F4" s="11" t="s">
        <v>58</v>
      </c>
      <c r="G4" s="11" t="s">
        <v>59</v>
      </c>
      <c r="H4" s="11" t="s">
        <v>60</v>
      </c>
      <c r="I4" s="11" t="s">
        <v>61</v>
      </c>
      <c r="J4" s="11" t="s">
        <v>62</v>
      </c>
      <c r="K4" s="11" t="s">
        <v>63</v>
      </c>
      <c r="L4" s="11" t="s">
        <v>64</v>
      </c>
      <c r="M4" s="11" t="s">
        <v>65</v>
      </c>
      <c r="N4" s="11" t="s">
        <v>66</v>
      </c>
      <c r="O4" s="11" t="s">
        <v>67</v>
      </c>
      <c r="P4" s="11" t="s">
        <v>25</v>
      </c>
      <c r="Q4" s="11" t="s">
        <v>68</v>
      </c>
      <c r="R4" s="11" t="s">
        <v>69</v>
      </c>
      <c r="S4" s="11" t="s">
        <v>70</v>
      </c>
      <c r="T4" s="11" t="s">
        <v>27</v>
      </c>
      <c r="U4" s="11" t="s">
        <v>71</v>
      </c>
      <c r="V4" s="11" t="s">
        <v>72</v>
      </c>
      <c r="W4" s="11" t="s">
        <v>31</v>
      </c>
      <c r="X4" s="11" t="s">
        <v>33</v>
      </c>
      <c r="Y4" s="11" t="s">
        <v>35</v>
      </c>
      <c r="Z4" s="11" t="s">
        <v>73</v>
      </c>
      <c r="AA4" s="11" t="s">
        <v>74</v>
      </c>
    </row>
    <row r="5" customFormat="false" ht="15" hidden="false" customHeight="false" outlineLevel="0" collapsed="false">
      <c r="A5" s="7"/>
      <c r="B5" s="9"/>
      <c r="C5" s="9"/>
      <c r="D5" s="12" t="str">
        <f aca="false">IF($C5="","",IF(OR($C5="Long call",$C5="Covered call"),"Call","Put"))</f>
        <v/>
      </c>
      <c r="E5" s="12" t="str">
        <f aca="false">IF($C5="","",IF(OR($C5="Long call",$C5="Long put"),"Buy to open","Sell to open"))</f>
        <v/>
      </c>
      <c r="F5" s="13"/>
      <c r="G5" s="7"/>
      <c r="H5" s="14"/>
      <c r="I5" s="13"/>
      <c r="J5" s="13"/>
      <c r="K5" s="13"/>
      <c r="L5" s="9"/>
      <c r="M5" s="7"/>
      <c r="N5" s="13"/>
      <c r="O5" s="15" t="str">
        <f aca="false">IF($C5="","",IF($E5="Sell to open",1,-1)*$I5*$E$2*$H5)</f>
        <v/>
      </c>
      <c r="P5" s="15" t="str">
        <f aca="false">IF($C5="","",IF($C5="Long call",$F5+$I5,IF($C5="Covered call",$J5-$I5,$F5-$I5)))</f>
        <v/>
      </c>
      <c r="Q5" s="16" t="str">
        <f aca="false">IF($C5="","",IF($AA5="Open",$B$2,IF($M5&lt;&gt;"",$M5,$G5))-$A5)</f>
        <v/>
      </c>
      <c r="R5" s="16" t="str">
        <f aca="false">IF($C5="","",IF($AA5="Open",MAX($G5-$B$2,0),""))</f>
        <v/>
      </c>
      <c r="S5" s="15" t="str">
        <f aca="false">IF(OR($C5="",$AA5="Open"),"",IF($L5="Closed",-IF($E5="Sell to open",1,-1)*$N5*$E$2*$H5,0))</f>
        <v/>
      </c>
      <c r="T5" s="15" t="str">
        <f aca="false">IF(OR($C5="",$AA5="Open"),"",$O5+$S5-$K5)</f>
        <v/>
      </c>
      <c r="U5" s="15" t="str">
        <f aca="false">IF(OR($C5="",$AA5="Open"),"",IF(AND($C5="Covered call",$L5="Assigned"),($F5-$J5)*$E$2*$H5,0))</f>
        <v/>
      </c>
      <c r="V5" s="15" t="str">
        <f aca="false">IF(OR($C5="",$AA5="Open"),"",$T5+$U5)</f>
        <v/>
      </c>
      <c r="W5" s="15" t="str">
        <f aca="false">IF($C5="","",IF(OR($C5="Long call",$C5="Long put"),$I5*$E$2*$H5,(IF($C5="Covered call",$J5,$F5)-$I5)*$E$2*$H5))</f>
        <v/>
      </c>
      <c r="X5" s="17" t="str">
        <f aca="false">IF(OR($C5="",$AA5="Open"),"",IF($W5&gt;0,$V5/$W5,""))</f>
        <v/>
      </c>
      <c r="Y5" s="17" t="str">
        <f aca="false">IF(OR($C5="",$AA5="Open"),"",IF($W5&gt;0,$X5*365/MAX($Q5,1),""))</f>
        <v/>
      </c>
      <c r="Z5" s="18" t="str">
        <f aca="false">IF(OR($C5="",$AA5="Open"),"",IF($M5&lt;&gt;"",$M5,$G5))</f>
        <v/>
      </c>
      <c r="AA5" s="12" t="str">
        <f aca="false">IF($C5="","",IF(OR($L5="Open",$L5=""),"Open","Realized"))</f>
        <v/>
      </c>
    </row>
    <row r="6" customFormat="false" ht="15" hidden="false" customHeight="false" outlineLevel="0" collapsed="false">
      <c r="A6" s="7"/>
      <c r="B6" s="9"/>
      <c r="C6" s="9"/>
      <c r="D6" s="12" t="str">
        <f aca="false">IF($C6="","",IF(OR($C6="Long call",$C6="Covered call"),"Call","Put"))</f>
        <v/>
      </c>
      <c r="E6" s="12" t="str">
        <f aca="false">IF($C6="","",IF(OR($C6="Long call",$C6="Long put"),"Buy to open","Sell to open"))</f>
        <v/>
      </c>
      <c r="F6" s="13"/>
      <c r="G6" s="7"/>
      <c r="H6" s="14"/>
      <c r="I6" s="13"/>
      <c r="J6" s="13"/>
      <c r="K6" s="13"/>
      <c r="L6" s="9"/>
      <c r="M6" s="7"/>
      <c r="N6" s="13"/>
      <c r="O6" s="15" t="str">
        <f aca="false">IF($C6="","",IF($E6="Sell to open",1,-1)*$I6*$E$2*$H6)</f>
        <v/>
      </c>
      <c r="P6" s="15" t="str">
        <f aca="false">IF($C6="","",IF($C6="Long call",$F6+$I6,IF($C6="Covered call",$J6-$I6,$F6-$I6)))</f>
        <v/>
      </c>
      <c r="Q6" s="16" t="str">
        <f aca="false">IF($C6="","",IF($AA6="Open",$B$2,IF($M6&lt;&gt;"",$M6,$G6))-$A6)</f>
        <v/>
      </c>
      <c r="R6" s="16" t="str">
        <f aca="false">IF($C6="","",IF($AA6="Open",MAX($G6-$B$2,0),""))</f>
        <v/>
      </c>
      <c r="S6" s="15" t="str">
        <f aca="false">IF(OR($C6="",$AA6="Open"),"",IF($L6="Closed",-IF($E6="Sell to open",1,-1)*$N6*$E$2*$H6,0))</f>
        <v/>
      </c>
      <c r="T6" s="15" t="str">
        <f aca="false">IF(OR($C6="",$AA6="Open"),"",$O6+$S6-$K6)</f>
        <v/>
      </c>
      <c r="U6" s="15" t="str">
        <f aca="false">IF(OR($C6="",$AA6="Open"),"",IF(AND($C6="Covered call",$L6="Assigned"),($F6-$J6)*$E$2*$H6,0))</f>
        <v/>
      </c>
      <c r="V6" s="15" t="str">
        <f aca="false">IF(OR($C6="",$AA6="Open"),"",$T6+$U6)</f>
        <v/>
      </c>
      <c r="W6" s="15" t="str">
        <f aca="false">IF($C6="","",IF(OR($C6="Long call",$C6="Long put"),$I6*$E$2*$H6,(IF($C6="Covered call",$J6,$F6)-$I6)*$E$2*$H6))</f>
        <v/>
      </c>
      <c r="X6" s="17" t="str">
        <f aca="false">IF(OR($C6="",$AA6="Open"),"",IF($W6&gt;0,$V6/$W6,""))</f>
        <v/>
      </c>
      <c r="Y6" s="17" t="str">
        <f aca="false">IF(OR($C6="",$AA6="Open"),"",IF($W6&gt;0,$X6*365/MAX($Q6,1),""))</f>
        <v/>
      </c>
      <c r="Z6" s="18" t="str">
        <f aca="false">IF(OR($C6="",$AA6="Open"),"",IF($M6&lt;&gt;"",$M6,$G6))</f>
        <v/>
      </c>
      <c r="AA6" s="12" t="str">
        <f aca="false">IF($C6="","",IF(OR($L6="Open",$L6=""),"Open","Realized"))</f>
        <v/>
      </c>
    </row>
    <row r="7" customFormat="false" ht="15" hidden="false" customHeight="false" outlineLevel="0" collapsed="false">
      <c r="A7" s="7"/>
      <c r="B7" s="9"/>
      <c r="C7" s="9"/>
      <c r="D7" s="12" t="str">
        <f aca="false">IF($C7="","",IF(OR($C7="Long call",$C7="Covered call"),"Call","Put"))</f>
        <v/>
      </c>
      <c r="E7" s="12" t="str">
        <f aca="false">IF($C7="","",IF(OR($C7="Long call",$C7="Long put"),"Buy to open","Sell to open"))</f>
        <v/>
      </c>
      <c r="F7" s="13"/>
      <c r="G7" s="7"/>
      <c r="H7" s="14"/>
      <c r="I7" s="13"/>
      <c r="J7" s="13"/>
      <c r="K7" s="13"/>
      <c r="L7" s="9"/>
      <c r="M7" s="7"/>
      <c r="N7" s="13"/>
      <c r="O7" s="15" t="str">
        <f aca="false">IF($C7="","",IF($E7="Sell to open",1,-1)*$I7*$E$2*$H7)</f>
        <v/>
      </c>
      <c r="P7" s="15" t="str">
        <f aca="false">IF($C7="","",IF($C7="Long call",$F7+$I7,IF($C7="Covered call",$J7-$I7,$F7-$I7)))</f>
        <v/>
      </c>
      <c r="Q7" s="16" t="str">
        <f aca="false">IF($C7="","",IF($AA7="Open",$B$2,IF($M7&lt;&gt;"",$M7,$G7))-$A7)</f>
        <v/>
      </c>
      <c r="R7" s="16" t="str">
        <f aca="false">IF($C7="","",IF($AA7="Open",MAX($G7-$B$2,0),""))</f>
        <v/>
      </c>
      <c r="S7" s="15" t="str">
        <f aca="false">IF(OR($C7="",$AA7="Open"),"",IF($L7="Closed",-IF($E7="Sell to open",1,-1)*$N7*$E$2*$H7,0))</f>
        <v/>
      </c>
      <c r="T7" s="15" t="str">
        <f aca="false">IF(OR($C7="",$AA7="Open"),"",$O7+$S7-$K7)</f>
        <v/>
      </c>
      <c r="U7" s="15" t="str">
        <f aca="false">IF(OR($C7="",$AA7="Open"),"",IF(AND($C7="Covered call",$L7="Assigned"),($F7-$J7)*$E$2*$H7,0))</f>
        <v/>
      </c>
      <c r="V7" s="15" t="str">
        <f aca="false">IF(OR($C7="",$AA7="Open"),"",$T7+$U7)</f>
        <v/>
      </c>
      <c r="W7" s="15" t="str">
        <f aca="false">IF($C7="","",IF(OR($C7="Long call",$C7="Long put"),$I7*$E$2*$H7,(IF($C7="Covered call",$J7,$F7)-$I7)*$E$2*$H7))</f>
        <v/>
      </c>
      <c r="X7" s="17" t="str">
        <f aca="false">IF(OR($C7="",$AA7="Open"),"",IF($W7&gt;0,$V7/$W7,""))</f>
        <v/>
      </c>
      <c r="Y7" s="17" t="str">
        <f aca="false">IF(OR($C7="",$AA7="Open"),"",IF($W7&gt;0,$X7*365/MAX($Q7,1),""))</f>
        <v/>
      </c>
      <c r="Z7" s="18" t="str">
        <f aca="false">IF(OR($C7="",$AA7="Open"),"",IF($M7&lt;&gt;"",$M7,$G7))</f>
        <v/>
      </c>
      <c r="AA7" s="12" t="str">
        <f aca="false">IF($C7="","",IF(OR($L7="Open",$L7=""),"Open","Realized"))</f>
        <v/>
      </c>
    </row>
    <row r="8" customFormat="false" ht="15" hidden="false" customHeight="false" outlineLevel="0" collapsed="false">
      <c r="A8" s="7"/>
      <c r="B8" s="9"/>
      <c r="C8" s="9"/>
      <c r="D8" s="12" t="str">
        <f aca="false">IF($C8="","",IF(OR($C8="Long call",$C8="Covered call"),"Call","Put"))</f>
        <v/>
      </c>
      <c r="E8" s="12" t="str">
        <f aca="false">IF($C8="","",IF(OR($C8="Long call",$C8="Long put"),"Buy to open","Sell to open"))</f>
        <v/>
      </c>
      <c r="F8" s="13"/>
      <c r="G8" s="7"/>
      <c r="H8" s="14"/>
      <c r="I8" s="13"/>
      <c r="J8" s="13"/>
      <c r="K8" s="13"/>
      <c r="L8" s="9"/>
      <c r="M8" s="7"/>
      <c r="N8" s="13"/>
      <c r="O8" s="15" t="str">
        <f aca="false">IF($C8="","",IF($E8="Sell to open",1,-1)*$I8*$E$2*$H8)</f>
        <v/>
      </c>
      <c r="P8" s="15" t="str">
        <f aca="false">IF($C8="","",IF($C8="Long call",$F8+$I8,IF($C8="Covered call",$J8-$I8,$F8-$I8)))</f>
        <v/>
      </c>
      <c r="Q8" s="16" t="str">
        <f aca="false">IF($C8="","",IF($AA8="Open",$B$2,IF($M8&lt;&gt;"",$M8,$G8))-$A8)</f>
        <v/>
      </c>
      <c r="R8" s="16" t="str">
        <f aca="false">IF($C8="","",IF($AA8="Open",MAX($G8-$B$2,0),""))</f>
        <v/>
      </c>
      <c r="S8" s="15" t="str">
        <f aca="false">IF(OR($C8="",$AA8="Open"),"",IF($L8="Closed",-IF($E8="Sell to open",1,-1)*$N8*$E$2*$H8,0))</f>
        <v/>
      </c>
      <c r="T8" s="15" t="str">
        <f aca="false">IF(OR($C8="",$AA8="Open"),"",$O8+$S8-$K8)</f>
        <v/>
      </c>
      <c r="U8" s="15" t="str">
        <f aca="false">IF(OR($C8="",$AA8="Open"),"",IF(AND($C8="Covered call",$L8="Assigned"),($F8-$J8)*$E$2*$H8,0))</f>
        <v/>
      </c>
      <c r="V8" s="15" t="str">
        <f aca="false">IF(OR($C8="",$AA8="Open"),"",$T8+$U8)</f>
        <v/>
      </c>
      <c r="W8" s="15" t="str">
        <f aca="false">IF($C8="","",IF(OR($C8="Long call",$C8="Long put"),$I8*$E$2*$H8,(IF($C8="Covered call",$J8,$F8)-$I8)*$E$2*$H8))</f>
        <v/>
      </c>
      <c r="X8" s="17" t="str">
        <f aca="false">IF(OR($C8="",$AA8="Open"),"",IF($W8&gt;0,$V8/$W8,""))</f>
        <v/>
      </c>
      <c r="Y8" s="17" t="str">
        <f aca="false">IF(OR($C8="",$AA8="Open"),"",IF($W8&gt;0,$X8*365/MAX($Q8,1),""))</f>
        <v/>
      </c>
      <c r="Z8" s="18" t="str">
        <f aca="false">IF(OR($C8="",$AA8="Open"),"",IF($M8&lt;&gt;"",$M8,$G8))</f>
        <v/>
      </c>
      <c r="AA8" s="12" t="str">
        <f aca="false">IF($C8="","",IF(OR($L8="Open",$L8=""),"Open","Realized"))</f>
        <v/>
      </c>
    </row>
    <row r="9" customFormat="false" ht="15" hidden="false" customHeight="false" outlineLevel="0" collapsed="false">
      <c r="A9" s="7"/>
      <c r="B9" s="9"/>
      <c r="C9" s="9"/>
      <c r="D9" s="12" t="str">
        <f aca="false">IF($C9="","",IF(OR($C9="Long call",$C9="Covered call"),"Call","Put"))</f>
        <v/>
      </c>
      <c r="E9" s="12" t="str">
        <f aca="false">IF($C9="","",IF(OR($C9="Long call",$C9="Long put"),"Buy to open","Sell to open"))</f>
        <v/>
      </c>
      <c r="F9" s="13"/>
      <c r="G9" s="7"/>
      <c r="H9" s="14"/>
      <c r="I9" s="13"/>
      <c r="J9" s="13"/>
      <c r="K9" s="13"/>
      <c r="L9" s="9"/>
      <c r="M9" s="7"/>
      <c r="N9" s="13"/>
      <c r="O9" s="15" t="str">
        <f aca="false">IF($C9="","",IF($E9="Sell to open",1,-1)*$I9*$E$2*$H9)</f>
        <v/>
      </c>
      <c r="P9" s="15" t="str">
        <f aca="false">IF($C9="","",IF($C9="Long call",$F9+$I9,IF($C9="Covered call",$J9-$I9,$F9-$I9)))</f>
        <v/>
      </c>
      <c r="Q9" s="16" t="str">
        <f aca="false">IF($C9="","",IF($AA9="Open",$B$2,IF($M9&lt;&gt;"",$M9,$G9))-$A9)</f>
        <v/>
      </c>
      <c r="R9" s="16" t="str">
        <f aca="false">IF($C9="","",IF($AA9="Open",MAX($G9-$B$2,0),""))</f>
        <v/>
      </c>
      <c r="S9" s="15" t="str">
        <f aca="false">IF(OR($C9="",$AA9="Open"),"",IF($L9="Closed",-IF($E9="Sell to open",1,-1)*$N9*$E$2*$H9,0))</f>
        <v/>
      </c>
      <c r="T9" s="15" t="str">
        <f aca="false">IF(OR($C9="",$AA9="Open"),"",$O9+$S9-$K9)</f>
        <v/>
      </c>
      <c r="U9" s="15" t="str">
        <f aca="false">IF(OR($C9="",$AA9="Open"),"",IF(AND($C9="Covered call",$L9="Assigned"),($F9-$J9)*$E$2*$H9,0))</f>
        <v/>
      </c>
      <c r="V9" s="15" t="str">
        <f aca="false">IF(OR($C9="",$AA9="Open"),"",$T9+$U9)</f>
        <v/>
      </c>
      <c r="W9" s="15" t="str">
        <f aca="false">IF($C9="","",IF(OR($C9="Long call",$C9="Long put"),$I9*$E$2*$H9,(IF($C9="Covered call",$J9,$F9)-$I9)*$E$2*$H9))</f>
        <v/>
      </c>
      <c r="X9" s="17" t="str">
        <f aca="false">IF(OR($C9="",$AA9="Open"),"",IF($W9&gt;0,$V9/$W9,""))</f>
        <v/>
      </c>
      <c r="Y9" s="17" t="str">
        <f aca="false">IF(OR($C9="",$AA9="Open"),"",IF($W9&gt;0,$X9*365/MAX($Q9,1),""))</f>
        <v/>
      </c>
      <c r="Z9" s="18" t="str">
        <f aca="false">IF(OR($C9="",$AA9="Open"),"",IF($M9&lt;&gt;"",$M9,$G9))</f>
        <v/>
      </c>
      <c r="AA9" s="12" t="str">
        <f aca="false">IF($C9="","",IF(OR($L9="Open",$L9=""),"Open","Realized"))</f>
        <v/>
      </c>
    </row>
    <row r="10" customFormat="false" ht="15" hidden="false" customHeight="false" outlineLevel="0" collapsed="false">
      <c r="A10" s="7"/>
      <c r="B10" s="9"/>
      <c r="C10" s="9"/>
      <c r="D10" s="12" t="str">
        <f aca="false">IF($C10="","",IF(OR($C10="Long call",$C10="Covered call"),"Call","Put"))</f>
        <v/>
      </c>
      <c r="E10" s="12" t="str">
        <f aca="false">IF($C10="","",IF(OR($C10="Long call",$C10="Long put"),"Buy to open","Sell to open"))</f>
        <v/>
      </c>
      <c r="F10" s="13"/>
      <c r="G10" s="7"/>
      <c r="H10" s="14"/>
      <c r="I10" s="13"/>
      <c r="J10" s="13"/>
      <c r="K10" s="13"/>
      <c r="L10" s="9"/>
      <c r="M10" s="7"/>
      <c r="N10" s="13"/>
      <c r="O10" s="15" t="str">
        <f aca="false">IF($C10="","",IF($E10="Sell to open",1,-1)*$I10*$E$2*$H10)</f>
        <v/>
      </c>
      <c r="P10" s="15" t="str">
        <f aca="false">IF($C10="","",IF($C10="Long call",$F10+$I10,IF($C10="Covered call",$J10-$I10,$F10-$I10)))</f>
        <v/>
      </c>
      <c r="Q10" s="16" t="str">
        <f aca="false">IF($C10="","",IF($AA10="Open",$B$2,IF($M10&lt;&gt;"",$M10,$G10))-$A10)</f>
        <v/>
      </c>
      <c r="R10" s="16" t="str">
        <f aca="false">IF($C10="","",IF($AA10="Open",MAX($G10-$B$2,0),""))</f>
        <v/>
      </c>
      <c r="S10" s="15" t="str">
        <f aca="false">IF(OR($C10="",$AA10="Open"),"",IF($L10="Closed",-IF($E10="Sell to open",1,-1)*$N10*$E$2*$H10,0))</f>
        <v/>
      </c>
      <c r="T10" s="15" t="str">
        <f aca="false">IF(OR($C10="",$AA10="Open"),"",$O10+$S10-$K10)</f>
        <v/>
      </c>
      <c r="U10" s="15" t="str">
        <f aca="false">IF(OR($C10="",$AA10="Open"),"",IF(AND($C10="Covered call",$L10="Assigned"),($F10-$J10)*$E$2*$H10,0))</f>
        <v/>
      </c>
      <c r="V10" s="15" t="str">
        <f aca="false">IF(OR($C10="",$AA10="Open"),"",$T10+$U10)</f>
        <v/>
      </c>
      <c r="W10" s="15" t="str">
        <f aca="false">IF($C10="","",IF(OR($C10="Long call",$C10="Long put"),$I10*$E$2*$H10,(IF($C10="Covered call",$J10,$F10)-$I10)*$E$2*$H10))</f>
        <v/>
      </c>
      <c r="X10" s="17" t="str">
        <f aca="false">IF(OR($C10="",$AA10="Open"),"",IF($W10&gt;0,$V10/$W10,""))</f>
        <v/>
      </c>
      <c r="Y10" s="17" t="str">
        <f aca="false">IF(OR($C10="",$AA10="Open"),"",IF($W10&gt;0,$X10*365/MAX($Q10,1),""))</f>
        <v/>
      </c>
      <c r="Z10" s="18" t="str">
        <f aca="false">IF(OR($C10="",$AA10="Open"),"",IF($M10&lt;&gt;"",$M10,$G10))</f>
        <v/>
      </c>
      <c r="AA10" s="12" t="str">
        <f aca="false">IF($C10="","",IF(OR($L10="Open",$L10=""),"Open","Realized"))</f>
        <v/>
      </c>
    </row>
    <row r="11" customFormat="false" ht="15" hidden="false" customHeight="false" outlineLevel="0" collapsed="false">
      <c r="A11" s="7"/>
      <c r="B11" s="9"/>
      <c r="C11" s="9"/>
      <c r="D11" s="12" t="str">
        <f aca="false">IF($C11="","",IF(OR($C11="Long call",$C11="Covered call"),"Call","Put"))</f>
        <v/>
      </c>
      <c r="E11" s="12" t="str">
        <f aca="false">IF($C11="","",IF(OR($C11="Long call",$C11="Long put"),"Buy to open","Sell to open"))</f>
        <v/>
      </c>
      <c r="F11" s="13"/>
      <c r="G11" s="7"/>
      <c r="H11" s="14"/>
      <c r="I11" s="13"/>
      <c r="J11" s="13"/>
      <c r="K11" s="13"/>
      <c r="L11" s="9"/>
      <c r="M11" s="7"/>
      <c r="N11" s="13"/>
      <c r="O11" s="15" t="str">
        <f aca="false">IF($C11="","",IF($E11="Sell to open",1,-1)*$I11*$E$2*$H11)</f>
        <v/>
      </c>
      <c r="P11" s="15" t="str">
        <f aca="false">IF($C11="","",IF($C11="Long call",$F11+$I11,IF($C11="Covered call",$J11-$I11,$F11-$I11)))</f>
        <v/>
      </c>
      <c r="Q11" s="16" t="str">
        <f aca="false">IF($C11="","",IF($AA11="Open",$B$2,IF($M11&lt;&gt;"",$M11,$G11))-$A11)</f>
        <v/>
      </c>
      <c r="R11" s="16" t="str">
        <f aca="false">IF($C11="","",IF($AA11="Open",MAX($G11-$B$2,0),""))</f>
        <v/>
      </c>
      <c r="S11" s="15" t="str">
        <f aca="false">IF(OR($C11="",$AA11="Open"),"",IF($L11="Closed",-IF($E11="Sell to open",1,-1)*$N11*$E$2*$H11,0))</f>
        <v/>
      </c>
      <c r="T11" s="15" t="str">
        <f aca="false">IF(OR($C11="",$AA11="Open"),"",$O11+$S11-$K11)</f>
        <v/>
      </c>
      <c r="U11" s="15" t="str">
        <f aca="false">IF(OR($C11="",$AA11="Open"),"",IF(AND($C11="Covered call",$L11="Assigned"),($F11-$J11)*$E$2*$H11,0))</f>
        <v/>
      </c>
      <c r="V11" s="15" t="str">
        <f aca="false">IF(OR($C11="",$AA11="Open"),"",$T11+$U11)</f>
        <v/>
      </c>
      <c r="W11" s="15" t="str">
        <f aca="false">IF($C11="","",IF(OR($C11="Long call",$C11="Long put"),$I11*$E$2*$H11,(IF($C11="Covered call",$J11,$F11)-$I11)*$E$2*$H11))</f>
        <v/>
      </c>
      <c r="X11" s="17" t="str">
        <f aca="false">IF(OR($C11="",$AA11="Open"),"",IF($W11&gt;0,$V11/$W11,""))</f>
        <v/>
      </c>
      <c r="Y11" s="17" t="str">
        <f aca="false">IF(OR($C11="",$AA11="Open"),"",IF($W11&gt;0,$X11*365/MAX($Q11,1),""))</f>
        <v/>
      </c>
      <c r="Z11" s="18" t="str">
        <f aca="false">IF(OR($C11="",$AA11="Open"),"",IF($M11&lt;&gt;"",$M11,$G11))</f>
        <v/>
      </c>
      <c r="AA11" s="12" t="str">
        <f aca="false">IF($C11="","",IF(OR($L11="Open",$L11=""),"Open","Realized"))</f>
        <v/>
      </c>
    </row>
    <row r="12" customFormat="false" ht="15" hidden="false" customHeight="false" outlineLevel="0" collapsed="false">
      <c r="A12" s="7"/>
      <c r="B12" s="9"/>
      <c r="C12" s="9"/>
      <c r="D12" s="12" t="str">
        <f aca="false">IF($C12="","",IF(OR($C12="Long call",$C12="Covered call"),"Call","Put"))</f>
        <v/>
      </c>
      <c r="E12" s="12" t="str">
        <f aca="false">IF($C12="","",IF(OR($C12="Long call",$C12="Long put"),"Buy to open","Sell to open"))</f>
        <v/>
      </c>
      <c r="F12" s="13"/>
      <c r="G12" s="7"/>
      <c r="H12" s="14"/>
      <c r="I12" s="13"/>
      <c r="J12" s="13"/>
      <c r="K12" s="13"/>
      <c r="L12" s="9"/>
      <c r="M12" s="7"/>
      <c r="N12" s="13"/>
      <c r="O12" s="15" t="str">
        <f aca="false">IF($C12="","",IF($E12="Sell to open",1,-1)*$I12*$E$2*$H12)</f>
        <v/>
      </c>
      <c r="P12" s="15" t="str">
        <f aca="false">IF($C12="","",IF($C12="Long call",$F12+$I12,IF($C12="Covered call",$J12-$I12,$F12-$I12)))</f>
        <v/>
      </c>
      <c r="Q12" s="16" t="str">
        <f aca="false">IF($C12="","",IF($AA12="Open",$B$2,IF($M12&lt;&gt;"",$M12,$G12))-$A12)</f>
        <v/>
      </c>
      <c r="R12" s="16" t="str">
        <f aca="false">IF($C12="","",IF($AA12="Open",MAX($G12-$B$2,0),""))</f>
        <v/>
      </c>
      <c r="S12" s="15" t="str">
        <f aca="false">IF(OR($C12="",$AA12="Open"),"",IF($L12="Closed",-IF($E12="Sell to open",1,-1)*$N12*$E$2*$H12,0))</f>
        <v/>
      </c>
      <c r="T12" s="15" t="str">
        <f aca="false">IF(OR($C12="",$AA12="Open"),"",$O12+$S12-$K12)</f>
        <v/>
      </c>
      <c r="U12" s="15" t="str">
        <f aca="false">IF(OR($C12="",$AA12="Open"),"",IF(AND($C12="Covered call",$L12="Assigned"),($F12-$J12)*$E$2*$H12,0))</f>
        <v/>
      </c>
      <c r="V12" s="15" t="str">
        <f aca="false">IF(OR($C12="",$AA12="Open"),"",$T12+$U12)</f>
        <v/>
      </c>
      <c r="W12" s="15" t="str">
        <f aca="false">IF($C12="","",IF(OR($C12="Long call",$C12="Long put"),$I12*$E$2*$H12,(IF($C12="Covered call",$J12,$F12)-$I12)*$E$2*$H12))</f>
        <v/>
      </c>
      <c r="X12" s="17" t="str">
        <f aca="false">IF(OR($C12="",$AA12="Open"),"",IF($W12&gt;0,$V12/$W12,""))</f>
        <v/>
      </c>
      <c r="Y12" s="17" t="str">
        <f aca="false">IF(OR($C12="",$AA12="Open"),"",IF($W12&gt;0,$X12*365/MAX($Q12,1),""))</f>
        <v/>
      </c>
      <c r="Z12" s="18" t="str">
        <f aca="false">IF(OR($C12="",$AA12="Open"),"",IF($M12&lt;&gt;"",$M12,$G12))</f>
        <v/>
      </c>
      <c r="AA12" s="12" t="str">
        <f aca="false">IF($C12="","",IF(OR($L12="Open",$L12=""),"Open","Realized"))</f>
        <v/>
      </c>
    </row>
    <row r="13" customFormat="false" ht="15" hidden="false" customHeight="false" outlineLevel="0" collapsed="false">
      <c r="A13" s="7"/>
      <c r="B13" s="9"/>
      <c r="C13" s="9"/>
      <c r="D13" s="12" t="str">
        <f aca="false">IF($C13="","",IF(OR($C13="Long call",$C13="Covered call"),"Call","Put"))</f>
        <v/>
      </c>
      <c r="E13" s="12" t="str">
        <f aca="false">IF($C13="","",IF(OR($C13="Long call",$C13="Long put"),"Buy to open","Sell to open"))</f>
        <v/>
      </c>
      <c r="F13" s="13"/>
      <c r="G13" s="7"/>
      <c r="H13" s="14"/>
      <c r="I13" s="13"/>
      <c r="J13" s="13"/>
      <c r="K13" s="13"/>
      <c r="L13" s="9"/>
      <c r="M13" s="7"/>
      <c r="N13" s="13"/>
      <c r="O13" s="15" t="str">
        <f aca="false">IF($C13="","",IF($E13="Sell to open",1,-1)*$I13*$E$2*$H13)</f>
        <v/>
      </c>
      <c r="P13" s="15" t="str">
        <f aca="false">IF($C13="","",IF($C13="Long call",$F13+$I13,IF($C13="Covered call",$J13-$I13,$F13-$I13)))</f>
        <v/>
      </c>
      <c r="Q13" s="16" t="str">
        <f aca="false">IF($C13="","",IF($AA13="Open",$B$2,IF($M13&lt;&gt;"",$M13,$G13))-$A13)</f>
        <v/>
      </c>
      <c r="R13" s="16" t="str">
        <f aca="false">IF($C13="","",IF($AA13="Open",MAX($G13-$B$2,0),""))</f>
        <v/>
      </c>
      <c r="S13" s="15" t="str">
        <f aca="false">IF(OR($C13="",$AA13="Open"),"",IF($L13="Closed",-IF($E13="Sell to open",1,-1)*$N13*$E$2*$H13,0))</f>
        <v/>
      </c>
      <c r="T13" s="15" t="str">
        <f aca="false">IF(OR($C13="",$AA13="Open"),"",$O13+$S13-$K13)</f>
        <v/>
      </c>
      <c r="U13" s="15" t="str">
        <f aca="false">IF(OR($C13="",$AA13="Open"),"",IF(AND($C13="Covered call",$L13="Assigned"),($F13-$J13)*$E$2*$H13,0))</f>
        <v/>
      </c>
      <c r="V13" s="15" t="str">
        <f aca="false">IF(OR($C13="",$AA13="Open"),"",$T13+$U13)</f>
        <v/>
      </c>
      <c r="W13" s="15" t="str">
        <f aca="false">IF($C13="","",IF(OR($C13="Long call",$C13="Long put"),$I13*$E$2*$H13,(IF($C13="Covered call",$J13,$F13)-$I13)*$E$2*$H13))</f>
        <v/>
      </c>
      <c r="X13" s="17" t="str">
        <f aca="false">IF(OR($C13="",$AA13="Open"),"",IF($W13&gt;0,$V13/$W13,""))</f>
        <v/>
      </c>
      <c r="Y13" s="17" t="str">
        <f aca="false">IF(OR($C13="",$AA13="Open"),"",IF($W13&gt;0,$X13*365/MAX($Q13,1),""))</f>
        <v/>
      </c>
      <c r="Z13" s="18" t="str">
        <f aca="false">IF(OR($C13="",$AA13="Open"),"",IF($M13&lt;&gt;"",$M13,$G13))</f>
        <v/>
      </c>
      <c r="AA13" s="12" t="str">
        <f aca="false">IF($C13="","",IF(OR($L13="Open",$L13=""),"Open","Realized"))</f>
        <v/>
      </c>
    </row>
    <row r="14" customFormat="false" ht="15" hidden="false" customHeight="false" outlineLevel="0" collapsed="false">
      <c r="A14" s="7"/>
      <c r="B14" s="9"/>
      <c r="C14" s="9"/>
      <c r="D14" s="12" t="str">
        <f aca="false">IF($C14="","",IF(OR($C14="Long call",$C14="Covered call"),"Call","Put"))</f>
        <v/>
      </c>
      <c r="E14" s="12" t="str">
        <f aca="false">IF($C14="","",IF(OR($C14="Long call",$C14="Long put"),"Buy to open","Sell to open"))</f>
        <v/>
      </c>
      <c r="F14" s="13"/>
      <c r="G14" s="7"/>
      <c r="H14" s="14"/>
      <c r="I14" s="13"/>
      <c r="J14" s="13"/>
      <c r="K14" s="13"/>
      <c r="L14" s="9"/>
      <c r="M14" s="7"/>
      <c r="N14" s="13"/>
      <c r="O14" s="15" t="str">
        <f aca="false">IF($C14="","",IF($E14="Sell to open",1,-1)*$I14*$E$2*$H14)</f>
        <v/>
      </c>
      <c r="P14" s="15" t="str">
        <f aca="false">IF($C14="","",IF($C14="Long call",$F14+$I14,IF($C14="Covered call",$J14-$I14,$F14-$I14)))</f>
        <v/>
      </c>
      <c r="Q14" s="16" t="str">
        <f aca="false">IF($C14="","",IF($AA14="Open",$B$2,IF($M14&lt;&gt;"",$M14,$G14))-$A14)</f>
        <v/>
      </c>
      <c r="R14" s="16" t="str">
        <f aca="false">IF($C14="","",IF($AA14="Open",MAX($G14-$B$2,0),""))</f>
        <v/>
      </c>
      <c r="S14" s="15" t="str">
        <f aca="false">IF(OR($C14="",$AA14="Open"),"",IF($L14="Closed",-IF($E14="Sell to open",1,-1)*$N14*$E$2*$H14,0))</f>
        <v/>
      </c>
      <c r="T14" s="15" t="str">
        <f aca="false">IF(OR($C14="",$AA14="Open"),"",$O14+$S14-$K14)</f>
        <v/>
      </c>
      <c r="U14" s="15" t="str">
        <f aca="false">IF(OR($C14="",$AA14="Open"),"",IF(AND($C14="Covered call",$L14="Assigned"),($F14-$J14)*$E$2*$H14,0))</f>
        <v/>
      </c>
      <c r="V14" s="15" t="str">
        <f aca="false">IF(OR($C14="",$AA14="Open"),"",$T14+$U14)</f>
        <v/>
      </c>
      <c r="W14" s="15" t="str">
        <f aca="false">IF($C14="","",IF(OR($C14="Long call",$C14="Long put"),$I14*$E$2*$H14,(IF($C14="Covered call",$J14,$F14)-$I14)*$E$2*$H14))</f>
        <v/>
      </c>
      <c r="X14" s="17" t="str">
        <f aca="false">IF(OR($C14="",$AA14="Open"),"",IF($W14&gt;0,$V14/$W14,""))</f>
        <v/>
      </c>
      <c r="Y14" s="17" t="str">
        <f aca="false">IF(OR($C14="",$AA14="Open"),"",IF($W14&gt;0,$X14*365/MAX($Q14,1),""))</f>
        <v/>
      </c>
      <c r="Z14" s="18" t="str">
        <f aca="false">IF(OR($C14="",$AA14="Open"),"",IF($M14&lt;&gt;"",$M14,$G14))</f>
        <v/>
      </c>
      <c r="AA14" s="12" t="str">
        <f aca="false">IF($C14="","",IF(OR($L14="Open",$L14=""),"Open","Realized"))</f>
        <v/>
      </c>
    </row>
    <row r="15" customFormat="false" ht="15" hidden="false" customHeight="false" outlineLevel="0" collapsed="false">
      <c r="A15" s="7"/>
      <c r="B15" s="9"/>
      <c r="C15" s="9"/>
      <c r="D15" s="12" t="str">
        <f aca="false">IF($C15="","",IF(OR($C15="Long call",$C15="Covered call"),"Call","Put"))</f>
        <v/>
      </c>
      <c r="E15" s="12" t="str">
        <f aca="false">IF($C15="","",IF(OR($C15="Long call",$C15="Long put"),"Buy to open","Sell to open"))</f>
        <v/>
      </c>
      <c r="F15" s="13"/>
      <c r="G15" s="7"/>
      <c r="H15" s="14"/>
      <c r="I15" s="13"/>
      <c r="J15" s="13"/>
      <c r="K15" s="13"/>
      <c r="L15" s="9"/>
      <c r="M15" s="7"/>
      <c r="N15" s="13"/>
      <c r="O15" s="15" t="str">
        <f aca="false">IF($C15="","",IF($E15="Sell to open",1,-1)*$I15*$E$2*$H15)</f>
        <v/>
      </c>
      <c r="P15" s="15" t="str">
        <f aca="false">IF($C15="","",IF($C15="Long call",$F15+$I15,IF($C15="Covered call",$J15-$I15,$F15-$I15)))</f>
        <v/>
      </c>
      <c r="Q15" s="16" t="str">
        <f aca="false">IF($C15="","",IF($AA15="Open",$B$2,IF($M15&lt;&gt;"",$M15,$G15))-$A15)</f>
        <v/>
      </c>
      <c r="R15" s="16" t="str">
        <f aca="false">IF($C15="","",IF($AA15="Open",MAX($G15-$B$2,0),""))</f>
        <v/>
      </c>
      <c r="S15" s="15" t="str">
        <f aca="false">IF(OR($C15="",$AA15="Open"),"",IF($L15="Closed",-IF($E15="Sell to open",1,-1)*$N15*$E$2*$H15,0))</f>
        <v/>
      </c>
      <c r="T15" s="15" t="str">
        <f aca="false">IF(OR($C15="",$AA15="Open"),"",$O15+$S15-$K15)</f>
        <v/>
      </c>
      <c r="U15" s="15" t="str">
        <f aca="false">IF(OR($C15="",$AA15="Open"),"",IF(AND($C15="Covered call",$L15="Assigned"),($F15-$J15)*$E$2*$H15,0))</f>
        <v/>
      </c>
      <c r="V15" s="15" t="str">
        <f aca="false">IF(OR($C15="",$AA15="Open"),"",$T15+$U15)</f>
        <v/>
      </c>
      <c r="W15" s="15" t="str">
        <f aca="false">IF($C15="","",IF(OR($C15="Long call",$C15="Long put"),$I15*$E$2*$H15,(IF($C15="Covered call",$J15,$F15)-$I15)*$E$2*$H15))</f>
        <v/>
      </c>
      <c r="X15" s="17" t="str">
        <f aca="false">IF(OR($C15="",$AA15="Open"),"",IF($W15&gt;0,$V15/$W15,""))</f>
        <v/>
      </c>
      <c r="Y15" s="17" t="str">
        <f aca="false">IF(OR($C15="",$AA15="Open"),"",IF($W15&gt;0,$X15*365/MAX($Q15,1),""))</f>
        <v/>
      </c>
      <c r="Z15" s="18" t="str">
        <f aca="false">IF(OR($C15="",$AA15="Open"),"",IF($M15&lt;&gt;"",$M15,$G15))</f>
        <v/>
      </c>
      <c r="AA15" s="12" t="str">
        <f aca="false">IF($C15="","",IF(OR($L15="Open",$L15=""),"Open","Realized"))</f>
        <v/>
      </c>
    </row>
    <row r="16" customFormat="false" ht="15" hidden="false" customHeight="false" outlineLevel="0" collapsed="false">
      <c r="A16" s="7"/>
      <c r="B16" s="9"/>
      <c r="C16" s="9"/>
      <c r="D16" s="12" t="str">
        <f aca="false">IF($C16="","",IF(OR($C16="Long call",$C16="Covered call"),"Call","Put"))</f>
        <v/>
      </c>
      <c r="E16" s="12" t="str">
        <f aca="false">IF($C16="","",IF(OR($C16="Long call",$C16="Long put"),"Buy to open","Sell to open"))</f>
        <v/>
      </c>
      <c r="F16" s="13"/>
      <c r="G16" s="7"/>
      <c r="H16" s="14"/>
      <c r="I16" s="13"/>
      <c r="J16" s="13"/>
      <c r="K16" s="13"/>
      <c r="L16" s="9"/>
      <c r="M16" s="7"/>
      <c r="N16" s="13"/>
      <c r="O16" s="15" t="str">
        <f aca="false">IF($C16="","",IF($E16="Sell to open",1,-1)*$I16*$E$2*$H16)</f>
        <v/>
      </c>
      <c r="P16" s="15" t="str">
        <f aca="false">IF($C16="","",IF($C16="Long call",$F16+$I16,IF($C16="Covered call",$J16-$I16,$F16-$I16)))</f>
        <v/>
      </c>
      <c r="Q16" s="16" t="str">
        <f aca="false">IF($C16="","",IF($AA16="Open",$B$2,IF($M16&lt;&gt;"",$M16,$G16))-$A16)</f>
        <v/>
      </c>
      <c r="R16" s="16" t="str">
        <f aca="false">IF($C16="","",IF($AA16="Open",MAX($G16-$B$2,0),""))</f>
        <v/>
      </c>
      <c r="S16" s="15" t="str">
        <f aca="false">IF(OR($C16="",$AA16="Open"),"",IF($L16="Closed",-IF($E16="Sell to open",1,-1)*$N16*$E$2*$H16,0))</f>
        <v/>
      </c>
      <c r="T16" s="15" t="str">
        <f aca="false">IF(OR($C16="",$AA16="Open"),"",$O16+$S16-$K16)</f>
        <v/>
      </c>
      <c r="U16" s="15" t="str">
        <f aca="false">IF(OR($C16="",$AA16="Open"),"",IF(AND($C16="Covered call",$L16="Assigned"),($F16-$J16)*$E$2*$H16,0))</f>
        <v/>
      </c>
      <c r="V16" s="15" t="str">
        <f aca="false">IF(OR($C16="",$AA16="Open"),"",$T16+$U16)</f>
        <v/>
      </c>
      <c r="W16" s="15" t="str">
        <f aca="false">IF($C16="","",IF(OR($C16="Long call",$C16="Long put"),$I16*$E$2*$H16,(IF($C16="Covered call",$J16,$F16)-$I16)*$E$2*$H16))</f>
        <v/>
      </c>
      <c r="X16" s="17" t="str">
        <f aca="false">IF(OR($C16="",$AA16="Open"),"",IF($W16&gt;0,$V16/$W16,""))</f>
        <v/>
      </c>
      <c r="Y16" s="17" t="str">
        <f aca="false">IF(OR($C16="",$AA16="Open"),"",IF($W16&gt;0,$X16*365/MAX($Q16,1),""))</f>
        <v/>
      </c>
      <c r="Z16" s="18" t="str">
        <f aca="false">IF(OR($C16="",$AA16="Open"),"",IF($M16&lt;&gt;"",$M16,$G16))</f>
        <v/>
      </c>
      <c r="AA16" s="12" t="str">
        <f aca="false">IF($C16="","",IF(OR($L16="Open",$L16=""),"Open","Realized"))</f>
        <v/>
      </c>
    </row>
    <row r="17" customFormat="false" ht="15" hidden="false" customHeight="false" outlineLevel="0" collapsed="false">
      <c r="A17" s="7"/>
      <c r="B17" s="9"/>
      <c r="C17" s="9"/>
      <c r="D17" s="12" t="str">
        <f aca="false">IF($C17="","",IF(OR($C17="Long call",$C17="Covered call"),"Call","Put"))</f>
        <v/>
      </c>
      <c r="E17" s="12" t="str">
        <f aca="false">IF($C17="","",IF(OR($C17="Long call",$C17="Long put"),"Buy to open","Sell to open"))</f>
        <v/>
      </c>
      <c r="F17" s="13"/>
      <c r="G17" s="7"/>
      <c r="H17" s="14"/>
      <c r="I17" s="13"/>
      <c r="J17" s="13"/>
      <c r="K17" s="13"/>
      <c r="L17" s="9"/>
      <c r="M17" s="7"/>
      <c r="N17" s="13"/>
      <c r="O17" s="15" t="str">
        <f aca="false">IF($C17="","",IF($E17="Sell to open",1,-1)*$I17*$E$2*$H17)</f>
        <v/>
      </c>
      <c r="P17" s="15" t="str">
        <f aca="false">IF($C17="","",IF($C17="Long call",$F17+$I17,IF($C17="Covered call",$J17-$I17,$F17-$I17)))</f>
        <v/>
      </c>
      <c r="Q17" s="16" t="str">
        <f aca="false">IF($C17="","",IF($AA17="Open",$B$2,IF($M17&lt;&gt;"",$M17,$G17))-$A17)</f>
        <v/>
      </c>
      <c r="R17" s="16" t="str">
        <f aca="false">IF($C17="","",IF($AA17="Open",MAX($G17-$B$2,0),""))</f>
        <v/>
      </c>
      <c r="S17" s="15" t="str">
        <f aca="false">IF(OR($C17="",$AA17="Open"),"",IF($L17="Closed",-IF($E17="Sell to open",1,-1)*$N17*$E$2*$H17,0))</f>
        <v/>
      </c>
      <c r="T17" s="15" t="str">
        <f aca="false">IF(OR($C17="",$AA17="Open"),"",$O17+$S17-$K17)</f>
        <v/>
      </c>
      <c r="U17" s="15" t="str">
        <f aca="false">IF(OR($C17="",$AA17="Open"),"",IF(AND($C17="Covered call",$L17="Assigned"),($F17-$J17)*$E$2*$H17,0))</f>
        <v/>
      </c>
      <c r="V17" s="15" t="str">
        <f aca="false">IF(OR($C17="",$AA17="Open"),"",$T17+$U17)</f>
        <v/>
      </c>
      <c r="W17" s="15" t="str">
        <f aca="false">IF($C17="","",IF(OR($C17="Long call",$C17="Long put"),$I17*$E$2*$H17,(IF($C17="Covered call",$J17,$F17)-$I17)*$E$2*$H17))</f>
        <v/>
      </c>
      <c r="X17" s="17" t="str">
        <f aca="false">IF(OR($C17="",$AA17="Open"),"",IF($W17&gt;0,$V17/$W17,""))</f>
        <v/>
      </c>
      <c r="Y17" s="17" t="str">
        <f aca="false">IF(OR($C17="",$AA17="Open"),"",IF($W17&gt;0,$X17*365/MAX($Q17,1),""))</f>
        <v/>
      </c>
      <c r="Z17" s="18" t="str">
        <f aca="false">IF(OR($C17="",$AA17="Open"),"",IF($M17&lt;&gt;"",$M17,$G17))</f>
        <v/>
      </c>
      <c r="AA17" s="12" t="str">
        <f aca="false">IF($C17="","",IF(OR($L17="Open",$L17=""),"Open","Realized"))</f>
        <v/>
      </c>
    </row>
    <row r="18" customFormat="false" ht="15" hidden="false" customHeight="false" outlineLevel="0" collapsed="false">
      <c r="A18" s="7"/>
      <c r="B18" s="9"/>
      <c r="C18" s="9"/>
      <c r="D18" s="12" t="str">
        <f aca="false">IF($C18="","",IF(OR($C18="Long call",$C18="Covered call"),"Call","Put"))</f>
        <v/>
      </c>
      <c r="E18" s="12" t="str">
        <f aca="false">IF($C18="","",IF(OR($C18="Long call",$C18="Long put"),"Buy to open","Sell to open"))</f>
        <v/>
      </c>
      <c r="F18" s="13"/>
      <c r="G18" s="7"/>
      <c r="H18" s="14"/>
      <c r="I18" s="13"/>
      <c r="J18" s="13"/>
      <c r="K18" s="13"/>
      <c r="L18" s="9"/>
      <c r="M18" s="7"/>
      <c r="N18" s="13"/>
      <c r="O18" s="15" t="str">
        <f aca="false">IF($C18="","",IF($E18="Sell to open",1,-1)*$I18*$E$2*$H18)</f>
        <v/>
      </c>
      <c r="P18" s="15" t="str">
        <f aca="false">IF($C18="","",IF($C18="Long call",$F18+$I18,IF($C18="Covered call",$J18-$I18,$F18-$I18)))</f>
        <v/>
      </c>
      <c r="Q18" s="16" t="str">
        <f aca="false">IF($C18="","",IF($AA18="Open",$B$2,IF($M18&lt;&gt;"",$M18,$G18))-$A18)</f>
        <v/>
      </c>
      <c r="R18" s="16" t="str">
        <f aca="false">IF($C18="","",IF($AA18="Open",MAX($G18-$B$2,0),""))</f>
        <v/>
      </c>
      <c r="S18" s="15" t="str">
        <f aca="false">IF(OR($C18="",$AA18="Open"),"",IF($L18="Closed",-IF($E18="Sell to open",1,-1)*$N18*$E$2*$H18,0))</f>
        <v/>
      </c>
      <c r="T18" s="15" t="str">
        <f aca="false">IF(OR($C18="",$AA18="Open"),"",$O18+$S18-$K18)</f>
        <v/>
      </c>
      <c r="U18" s="15" t="str">
        <f aca="false">IF(OR($C18="",$AA18="Open"),"",IF(AND($C18="Covered call",$L18="Assigned"),($F18-$J18)*$E$2*$H18,0))</f>
        <v/>
      </c>
      <c r="V18" s="15" t="str">
        <f aca="false">IF(OR($C18="",$AA18="Open"),"",$T18+$U18)</f>
        <v/>
      </c>
      <c r="W18" s="15" t="str">
        <f aca="false">IF($C18="","",IF(OR($C18="Long call",$C18="Long put"),$I18*$E$2*$H18,(IF($C18="Covered call",$J18,$F18)-$I18)*$E$2*$H18))</f>
        <v/>
      </c>
      <c r="X18" s="17" t="str">
        <f aca="false">IF(OR($C18="",$AA18="Open"),"",IF($W18&gt;0,$V18/$W18,""))</f>
        <v/>
      </c>
      <c r="Y18" s="17" t="str">
        <f aca="false">IF(OR($C18="",$AA18="Open"),"",IF($W18&gt;0,$X18*365/MAX($Q18,1),""))</f>
        <v/>
      </c>
      <c r="Z18" s="18" t="str">
        <f aca="false">IF(OR($C18="",$AA18="Open"),"",IF($M18&lt;&gt;"",$M18,$G18))</f>
        <v/>
      </c>
      <c r="AA18" s="12" t="str">
        <f aca="false">IF($C18="","",IF(OR($L18="Open",$L18=""),"Open","Realized"))</f>
        <v/>
      </c>
    </row>
    <row r="19" customFormat="false" ht="15" hidden="false" customHeight="false" outlineLevel="0" collapsed="false">
      <c r="A19" s="7"/>
      <c r="B19" s="9"/>
      <c r="C19" s="9"/>
      <c r="D19" s="12" t="str">
        <f aca="false">IF($C19="","",IF(OR($C19="Long call",$C19="Covered call"),"Call","Put"))</f>
        <v/>
      </c>
      <c r="E19" s="12" t="str">
        <f aca="false">IF($C19="","",IF(OR($C19="Long call",$C19="Long put"),"Buy to open","Sell to open"))</f>
        <v/>
      </c>
      <c r="F19" s="13"/>
      <c r="G19" s="7"/>
      <c r="H19" s="14"/>
      <c r="I19" s="13"/>
      <c r="J19" s="13"/>
      <c r="K19" s="13"/>
      <c r="L19" s="9"/>
      <c r="M19" s="7"/>
      <c r="N19" s="13"/>
      <c r="O19" s="15" t="str">
        <f aca="false">IF($C19="","",IF($E19="Sell to open",1,-1)*$I19*$E$2*$H19)</f>
        <v/>
      </c>
      <c r="P19" s="15" t="str">
        <f aca="false">IF($C19="","",IF($C19="Long call",$F19+$I19,IF($C19="Covered call",$J19-$I19,$F19-$I19)))</f>
        <v/>
      </c>
      <c r="Q19" s="16" t="str">
        <f aca="false">IF($C19="","",IF($AA19="Open",$B$2,IF($M19&lt;&gt;"",$M19,$G19))-$A19)</f>
        <v/>
      </c>
      <c r="R19" s="16" t="str">
        <f aca="false">IF($C19="","",IF($AA19="Open",MAX($G19-$B$2,0),""))</f>
        <v/>
      </c>
      <c r="S19" s="15" t="str">
        <f aca="false">IF(OR($C19="",$AA19="Open"),"",IF($L19="Closed",-IF($E19="Sell to open",1,-1)*$N19*$E$2*$H19,0))</f>
        <v/>
      </c>
      <c r="T19" s="15" t="str">
        <f aca="false">IF(OR($C19="",$AA19="Open"),"",$O19+$S19-$K19)</f>
        <v/>
      </c>
      <c r="U19" s="15" t="str">
        <f aca="false">IF(OR($C19="",$AA19="Open"),"",IF(AND($C19="Covered call",$L19="Assigned"),($F19-$J19)*$E$2*$H19,0))</f>
        <v/>
      </c>
      <c r="V19" s="15" t="str">
        <f aca="false">IF(OR($C19="",$AA19="Open"),"",$T19+$U19)</f>
        <v/>
      </c>
      <c r="W19" s="15" t="str">
        <f aca="false">IF($C19="","",IF(OR($C19="Long call",$C19="Long put"),$I19*$E$2*$H19,(IF($C19="Covered call",$J19,$F19)-$I19)*$E$2*$H19))</f>
        <v/>
      </c>
      <c r="X19" s="17" t="str">
        <f aca="false">IF(OR($C19="",$AA19="Open"),"",IF($W19&gt;0,$V19/$W19,""))</f>
        <v/>
      </c>
      <c r="Y19" s="17" t="str">
        <f aca="false">IF(OR($C19="",$AA19="Open"),"",IF($W19&gt;0,$X19*365/MAX($Q19,1),""))</f>
        <v/>
      </c>
      <c r="Z19" s="18" t="str">
        <f aca="false">IF(OR($C19="",$AA19="Open"),"",IF($M19&lt;&gt;"",$M19,$G19))</f>
        <v/>
      </c>
      <c r="AA19" s="12" t="str">
        <f aca="false">IF($C19="","",IF(OR($L19="Open",$L19=""),"Open","Realized"))</f>
        <v/>
      </c>
    </row>
    <row r="20" customFormat="false" ht="15" hidden="false" customHeight="false" outlineLevel="0" collapsed="false">
      <c r="A20" s="7"/>
      <c r="B20" s="9"/>
      <c r="C20" s="9"/>
      <c r="D20" s="12" t="str">
        <f aca="false">IF($C20="","",IF(OR($C20="Long call",$C20="Covered call"),"Call","Put"))</f>
        <v/>
      </c>
      <c r="E20" s="12" t="str">
        <f aca="false">IF($C20="","",IF(OR($C20="Long call",$C20="Long put"),"Buy to open","Sell to open"))</f>
        <v/>
      </c>
      <c r="F20" s="13"/>
      <c r="G20" s="7"/>
      <c r="H20" s="14"/>
      <c r="I20" s="13"/>
      <c r="J20" s="13"/>
      <c r="K20" s="13"/>
      <c r="L20" s="9"/>
      <c r="M20" s="7"/>
      <c r="N20" s="13"/>
      <c r="O20" s="15" t="str">
        <f aca="false">IF($C20="","",IF($E20="Sell to open",1,-1)*$I20*$E$2*$H20)</f>
        <v/>
      </c>
      <c r="P20" s="15" t="str">
        <f aca="false">IF($C20="","",IF($C20="Long call",$F20+$I20,IF($C20="Covered call",$J20-$I20,$F20-$I20)))</f>
        <v/>
      </c>
      <c r="Q20" s="16" t="str">
        <f aca="false">IF($C20="","",IF($AA20="Open",$B$2,IF($M20&lt;&gt;"",$M20,$G20))-$A20)</f>
        <v/>
      </c>
      <c r="R20" s="16" t="str">
        <f aca="false">IF($C20="","",IF($AA20="Open",MAX($G20-$B$2,0),""))</f>
        <v/>
      </c>
      <c r="S20" s="15" t="str">
        <f aca="false">IF(OR($C20="",$AA20="Open"),"",IF($L20="Closed",-IF($E20="Sell to open",1,-1)*$N20*$E$2*$H20,0))</f>
        <v/>
      </c>
      <c r="T20" s="15" t="str">
        <f aca="false">IF(OR($C20="",$AA20="Open"),"",$O20+$S20-$K20)</f>
        <v/>
      </c>
      <c r="U20" s="15" t="str">
        <f aca="false">IF(OR($C20="",$AA20="Open"),"",IF(AND($C20="Covered call",$L20="Assigned"),($F20-$J20)*$E$2*$H20,0))</f>
        <v/>
      </c>
      <c r="V20" s="15" t="str">
        <f aca="false">IF(OR($C20="",$AA20="Open"),"",$T20+$U20)</f>
        <v/>
      </c>
      <c r="W20" s="15" t="str">
        <f aca="false">IF($C20="","",IF(OR($C20="Long call",$C20="Long put"),$I20*$E$2*$H20,(IF($C20="Covered call",$J20,$F20)-$I20)*$E$2*$H20))</f>
        <v/>
      </c>
      <c r="X20" s="17" t="str">
        <f aca="false">IF(OR($C20="",$AA20="Open"),"",IF($W20&gt;0,$V20/$W20,""))</f>
        <v/>
      </c>
      <c r="Y20" s="17" t="str">
        <f aca="false">IF(OR($C20="",$AA20="Open"),"",IF($W20&gt;0,$X20*365/MAX($Q20,1),""))</f>
        <v/>
      </c>
      <c r="Z20" s="18" t="str">
        <f aca="false">IF(OR($C20="",$AA20="Open"),"",IF($M20&lt;&gt;"",$M20,$G20))</f>
        <v/>
      </c>
      <c r="AA20" s="12" t="str">
        <f aca="false">IF($C20="","",IF(OR($L20="Open",$L20=""),"Open","Realized"))</f>
        <v/>
      </c>
    </row>
    <row r="21" customFormat="false" ht="15" hidden="false" customHeight="false" outlineLevel="0" collapsed="false">
      <c r="A21" s="7"/>
      <c r="B21" s="9"/>
      <c r="C21" s="9"/>
      <c r="D21" s="12" t="str">
        <f aca="false">IF($C21="","",IF(OR($C21="Long call",$C21="Covered call"),"Call","Put"))</f>
        <v/>
      </c>
      <c r="E21" s="12" t="str">
        <f aca="false">IF($C21="","",IF(OR($C21="Long call",$C21="Long put"),"Buy to open","Sell to open"))</f>
        <v/>
      </c>
      <c r="F21" s="13"/>
      <c r="G21" s="7"/>
      <c r="H21" s="14"/>
      <c r="I21" s="13"/>
      <c r="J21" s="13"/>
      <c r="K21" s="13"/>
      <c r="L21" s="9"/>
      <c r="M21" s="7"/>
      <c r="N21" s="13"/>
      <c r="O21" s="15" t="str">
        <f aca="false">IF($C21="","",IF($E21="Sell to open",1,-1)*$I21*$E$2*$H21)</f>
        <v/>
      </c>
      <c r="P21" s="15" t="str">
        <f aca="false">IF($C21="","",IF($C21="Long call",$F21+$I21,IF($C21="Covered call",$J21-$I21,$F21-$I21)))</f>
        <v/>
      </c>
      <c r="Q21" s="16" t="str">
        <f aca="false">IF($C21="","",IF($AA21="Open",$B$2,IF($M21&lt;&gt;"",$M21,$G21))-$A21)</f>
        <v/>
      </c>
      <c r="R21" s="16" t="str">
        <f aca="false">IF($C21="","",IF($AA21="Open",MAX($G21-$B$2,0),""))</f>
        <v/>
      </c>
      <c r="S21" s="15" t="str">
        <f aca="false">IF(OR($C21="",$AA21="Open"),"",IF($L21="Closed",-IF($E21="Sell to open",1,-1)*$N21*$E$2*$H21,0))</f>
        <v/>
      </c>
      <c r="T21" s="15" t="str">
        <f aca="false">IF(OR($C21="",$AA21="Open"),"",$O21+$S21-$K21)</f>
        <v/>
      </c>
      <c r="U21" s="15" t="str">
        <f aca="false">IF(OR($C21="",$AA21="Open"),"",IF(AND($C21="Covered call",$L21="Assigned"),($F21-$J21)*$E$2*$H21,0))</f>
        <v/>
      </c>
      <c r="V21" s="15" t="str">
        <f aca="false">IF(OR($C21="",$AA21="Open"),"",$T21+$U21)</f>
        <v/>
      </c>
      <c r="W21" s="15" t="str">
        <f aca="false">IF($C21="","",IF(OR($C21="Long call",$C21="Long put"),$I21*$E$2*$H21,(IF($C21="Covered call",$J21,$F21)-$I21)*$E$2*$H21))</f>
        <v/>
      </c>
      <c r="X21" s="17" t="str">
        <f aca="false">IF(OR($C21="",$AA21="Open"),"",IF($W21&gt;0,$V21/$W21,""))</f>
        <v/>
      </c>
      <c r="Y21" s="17" t="str">
        <f aca="false">IF(OR($C21="",$AA21="Open"),"",IF($W21&gt;0,$X21*365/MAX($Q21,1),""))</f>
        <v/>
      </c>
      <c r="Z21" s="18" t="str">
        <f aca="false">IF(OR($C21="",$AA21="Open"),"",IF($M21&lt;&gt;"",$M21,$G21))</f>
        <v/>
      </c>
      <c r="AA21" s="12" t="str">
        <f aca="false">IF($C21="","",IF(OR($L21="Open",$L21=""),"Open","Realized"))</f>
        <v/>
      </c>
    </row>
    <row r="22" customFormat="false" ht="15" hidden="false" customHeight="false" outlineLevel="0" collapsed="false">
      <c r="A22" s="7"/>
      <c r="B22" s="9"/>
      <c r="C22" s="9"/>
      <c r="D22" s="12" t="str">
        <f aca="false">IF($C22="","",IF(OR($C22="Long call",$C22="Covered call"),"Call","Put"))</f>
        <v/>
      </c>
      <c r="E22" s="12" t="str">
        <f aca="false">IF($C22="","",IF(OR($C22="Long call",$C22="Long put"),"Buy to open","Sell to open"))</f>
        <v/>
      </c>
      <c r="F22" s="13"/>
      <c r="G22" s="7"/>
      <c r="H22" s="14"/>
      <c r="I22" s="13"/>
      <c r="J22" s="13"/>
      <c r="K22" s="13"/>
      <c r="L22" s="9"/>
      <c r="M22" s="7"/>
      <c r="N22" s="13"/>
      <c r="O22" s="15" t="str">
        <f aca="false">IF($C22="","",IF($E22="Sell to open",1,-1)*$I22*$E$2*$H22)</f>
        <v/>
      </c>
      <c r="P22" s="15" t="str">
        <f aca="false">IF($C22="","",IF($C22="Long call",$F22+$I22,IF($C22="Covered call",$J22-$I22,$F22-$I22)))</f>
        <v/>
      </c>
      <c r="Q22" s="16" t="str">
        <f aca="false">IF($C22="","",IF($AA22="Open",$B$2,IF($M22&lt;&gt;"",$M22,$G22))-$A22)</f>
        <v/>
      </c>
      <c r="R22" s="16" t="str">
        <f aca="false">IF($C22="","",IF($AA22="Open",MAX($G22-$B$2,0),""))</f>
        <v/>
      </c>
      <c r="S22" s="15" t="str">
        <f aca="false">IF(OR($C22="",$AA22="Open"),"",IF($L22="Closed",-IF($E22="Sell to open",1,-1)*$N22*$E$2*$H22,0))</f>
        <v/>
      </c>
      <c r="T22" s="15" t="str">
        <f aca="false">IF(OR($C22="",$AA22="Open"),"",$O22+$S22-$K22)</f>
        <v/>
      </c>
      <c r="U22" s="15" t="str">
        <f aca="false">IF(OR($C22="",$AA22="Open"),"",IF(AND($C22="Covered call",$L22="Assigned"),($F22-$J22)*$E$2*$H22,0))</f>
        <v/>
      </c>
      <c r="V22" s="15" t="str">
        <f aca="false">IF(OR($C22="",$AA22="Open"),"",$T22+$U22)</f>
        <v/>
      </c>
      <c r="W22" s="15" t="str">
        <f aca="false">IF($C22="","",IF(OR($C22="Long call",$C22="Long put"),$I22*$E$2*$H22,(IF($C22="Covered call",$J22,$F22)-$I22)*$E$2*$H22))</f>
        <v/>
      </c>
      <c r="X22" s="17" t="str">
        <f aca="false">IF(OR($C22="",$AA22="Open"),"",IF($W22&gt;0,$V22/$W22,""))</f>
        <v/>
      </c>
      <c r="Y22" s="17" t="str">
        <f aca="false">IF(OR($C22="",$AA22="Open"),"",IF($W22&gt;0,$X22*365/MAX($Q22,1),""))</f>
        <v/>
      </c>
      <c r="Z22" s="18" t="str">
        <f aca="false">IF(OR($C22="",$AA22="Open"),"",IF($M22&lt;&gt;"",$M22,$G22))</f>
        <v/>
      </c>
      <c r="AA22" s="12" t="str">
        <f aca="false">IF($C22="","",IF(OR($L22="Open",$L22=""),"Open","Realized"))</f>
        <v/>
      </c>
    </row>
    <row r="23" customFormat="false" ht="15" hidden="false" customHeight="false" outlineLevel="0" collapsed="false">
      <c r="A23" s="7"/>
      <c r="B23" s="9"/>
      <c r="C23" s="9"/>
      <c r="D23" s="12" t="str">
        <f aca="false">IF($C23="","",IF(OR($C23="Long call",$C23="Covered call"),"Call","Put"))</f>
        <v/>
      </c>
      <c r="E23" s="12" t="str">
        <f aca="false">IF($C23="","",IF(OR($C23="Long call",$C23="Long put"),"Buy to open","Sell to open"))</f>
        <v/>
      </c>
      <c r="F23" s="13"/>
      <c r="G23" s="7"/>
      <c r="H23" s="14"/>
      <c r="I23" s="13"/>
      <c r="J23" s="13"/>
      <c r="K23" s="13"/>
      <c r="L23" s="9"/>
      <c r="M23" s="7"/>
      <c r="N23" s="13"/>
      <c r="O23" s="15" t="str">
        <f aca="false">IF($C23="","",IF($E23="Sell to open",1,-1)*$I23*$E$2*$H23)</f>
        <v/>
      </c>
      <c r="P23" s="15" t="str">
        <f aca="false">IF($C23="","",IF($C23="Long call",$F23+$I23,IF($C23="Covered call",$J23-$I23,$F23-$I23)))</f>
        <v/>
      </c>
      <c r="Q23" s="16" t="str">
        <f aca="false">IF($C23="","",IF($AA23="Open",$B$2,IF($M23&lt;&gt;"",$M23,$G23))-$A23)</f>
        <v/>
      </c>
      <c r="R23" s="16" t="str">
        <f aca="false">IF($C23="","",IF($AA23="Open",MAX($G23-$B$2,0),""))</f>
        <v/>
      </c>
      <c r="S23" s="15" t="str">
        <f aca="false">IF(OR($C23="",$AA23="Open"),"",IF($L23="Closed",-IF($E23="Sell to open",1,-1)*$N23*$E$2*$H23,0))</f>
        <v/>
      </c>
      <c r="T23" s="15" t="str">
        <f aca="false">IF(OR($C23="",$AA23="Open"),"",$O23+$S23-$K23)</f>
        <v/>
      </c>
      <c r="U23" s="15" t="str">
        <f aca="false">IF(OR($C23="",$AA23="Open"),"",IF(AND($C23="Covered call",$L23="Assigned"),($F23-$J23)*$E$2*$H23,0))</f>
        <v/>
      </c>
      <c r="V23" s="15" t="str">
        <f aca="false">IF(OR($C23="",$AA23="Open"),"",$T23+$U23)</f>
        <v/>
      </c>
      <c r="W23" s="15" t="str">
        <f aca="false">IF($C23="","",IF(OR($C23="Long call",$C23="Long put"),$I23*$E$2*$H23,(IF($C23="Covered call",$J23,$F23)-$I23)*$E$2*$H23))</f>
        <v/>
      </c>
      <c r="X23" s="17" t="str">
        <f aca="false">IF(OR($C23="",$AA23="Open"),"",IF($W23&gt;0,$V23/$W23,""))</f>
        <v/>
      </c>
      <c r="Y23" s="17" t="str">
        <f aca="false">IF(OR($C23="",$AA23="Open"),"",IF($W23&gt;0,$X23*365/MAX($Q23,1),""))</f>
        <v/>
      </c>
      <c r="Z23" s="18" t="str">
        <f aca="false">IF(OR($C23="",$AA23="Open"),"",IF($M23&lt;&gt;"",$M23,$G23))</f>
        <v/>
      </c>
      <c r="AA23" s="12" t="str">
        <f aca="false">IF($C23="","",IF(OR($L23="Open",$L23=""),"Open","Realized"))</f>
        <v/>
      </c>
    </row>
    <row r="24" customFormat="false" ht="15" hidden="false" customHeight="false" outlineLevel="0" collapsed="false">
      <c r="A24" s="7"/>
      <c r="B24" s="9"/>
      <c r="C24" s="9"/>
      <c r="D24" s="12" t="str">
        <f aca="false">IF($C24="","",IF(OR($C24="Long call",$C24="Covered call"),"Call","Put"))</f>
        <v/>
      </c>
      <c r="E24" s="12" t="str">
        <f aca="false">IF($C24="","",IF(OR($C24="Long call",$C24="Long put"),"Buy to open","Sell to open"))</f>
        <v/>
      </c>
      <c r="F24" s="13"/>
      <c r="G24" s="7"/>
      <c r="H24" s="14"/>
      <c r="I24" s="13"/>
      <c r="J24" s="13"/>
      <c r="K24" s="13"/>
      <c r="L24" s="9"/>
      <c r="M24" s="7"/>
      <c r="N24" s="13"/>
      <c r="O24" s="15" t="str">
        <f aca="false">IF($C24="","",IF($E24="Sell to open",1,-1)*$I24*$E$2*$H24)</f>
        <v/>
      </c>
      <c r="P24" s="15" t="str">
        <f aca="false">IF($C24="","",IF($C24="Long call",$F24+$I24,IF($C24="Covered call",$J24-$I24,$F24-$I24)))</f>
        <v/>
      </c>
      <c r="Q24" s="16" t="str">
        <f aca="false">IF($C24="","",IF($AA24="Open",$B$2,IF($M24&lt;&gt;"",$M24,$G24))-$A24)</f>
        <v/>
      </c>
      <c r="R24" s="16" t="str">
        <f aca="false">IF($C24="","",IF($AA24="Open",MAX($G24-$B$2,0),""))</f>
        <v/>
      </c>
      <c r="S24" s="15" t="str">
        <f aca="false">IF(OR($C24="",$AA24="Open"),"",IF($L24="Closed",-IF($E24="Sell to open",1,-1)*$N24*$E$2*$H24,0))</f>
        <v/>
      </c>
      <c r="T24" s="15" t="str">
        <f aca="false">IF(OR($C24="",$AA24="Open"),"",$O24+$S24-$K24)</f>
        <v/>
      </c>
      <c r="U24" s="15" t="str">
        <f aca="false">IF(OR($C24="",$AA24="Open"),"",IF(AND($C24="Covered call",$L24="Assigned"),($F24-$J24)*$E$2*$H24,0))</f>
        <v/>
      </c>
      <c r="V24" s="15" t="str">
        <f aca="false">IF(OR($C24="",$AA24="Open"),"",$T24+$U24)</f>
        <v/>
      </c>
      <c r="W24" s="15" t="str">
        <f aca="false">IF($C24="","",IF(OR($C24="Long call",$C24="Long put"),$I24*$E$2*$H24,(IF($C24="Covered call",$J24,$F24)-$I24)*$E$2*$H24))</f>
        <v/>
      </c>
      <c r="X24" s="17" t="str">
        <f aca="false">IF(OR($C24="",$AA24="Open"),"",IF($W24&gt;0,$V24/$W24,""))</f>
        <v/>
      </c>
      <c r="Y24" s="17" t="str">
        <f aca="false">IF(OR($C24="",$AA24="Open"),"",IF($W24&gt;0,$X24*365/MAX($Q24,1),""))</f>
        <v/>
      </c>
      <c r="Z24" s="18" t="str">
        <f aca="false">IF(OR($C24="",$AA24="Open"),"",IF($M24&lt;&gt;"",$M24,$G24))</f>
        <v/>
      </c>
      <c r="AA24" s="12" t="str">
        <f aca="false">IF($C24="","",IF(OR($L24="Open",$L24=""),"Open","Realized"))</f>
        <v/>
      </c>
    </row>
    <row r="25" customFormat="false" ht="15" hidden="false" customHeight="false" outlineLevel="0" collapsed="false">
      <c r="A25" s="7"/>
      <c r="B25" s="9"/>
      <c r="C25" s="9"/>
      <c r="D25" s="12" t="str">
        <f aca="false">IF($C25="","",IF(OR($C25="Long call",$C25="Covered call"),"Call","Put"))</f>
        <v/>
      </c>
      <c r="E25" s="12" t="str">
        <f aca="false">IF($C25="","",IF(OR($C25="Long call",$C25="Long put"),"Buy to open","Sell to open"))</f>
        <v/>
      </c>
      <c r="F25" s="13"/>
      <c r="G25" s="7"/>
      <c r="H25" s="14"/>
      <c r="I25" s="13"/>
      <c r="J25" s="13"/>
      <c r="K25" s="13"/>
      <c r="L25" s="9"/>
      <c r="M25" s="7"/>
      <c r="N25" s="13"/>
      <c r="O25" s="15" t="str">
        <f aca="false">IF($C25="","",IF($E25="Sell to open",1,-1)*$I25*$E$2*$H25)</f>
        <v/>
      </c>
      <c r="P25" s="15" t="str">
        <f aca="false">IF($C25="","",IF($C25="Long call",$F25+$I25,IF($C25="Covered call",$J25-$I25,$F25-$I25)))</f>
        <v/>
      </c>
      <c r="Q25" s="16" t="str">
        <f aca="false">IF($C25="","",IF($AA25="Open",$B$2,IF($M25&lt;&gt;"",$M25,$G25))-$A25)</f>
        <v/>
      </c>
      <c r="R25" s="16" t="str">
        <f aca="false">IF($C25="","",IF($AA25="Open",MAX($G25-$B$2,0),""))</f>
        <v/>
      </c>
      <c r="S25" s="15" t="str">
        <f aca="false">IF(OR($C25="",$AA25="Open"),"",IF($L25="Closed",-IF($E25="Sell to open",1,-1)*$N25*$E$2*$H25,0))</f>
        <v/>
      </c>
      <c r="T25" s="15" t="str">
        <f aca="false">IF(OR($C25="",$AA25="Open"),"",$O25+$S25-$K25)</f>
        <v/>
      </c>
      <c r="U25" s="15" t="str">
        <f aca="false">IF(OR($C25="",$AA25="Open"),"",IF(AND($C25="Covered call",$L25="Assigned"),($F25-$J25)*$E$2*$H25,0))</f>
        <v/>
      </c>
      <c r="V25" s="15" t="str">
        <f aca="false">IF(OR($C25="",$AA25="Open"),"",$T25+$U25)</f>
        <v/>
      </c>
      <c r="W25" s="15" t="str">
        <f aca="false">IF($C25="","",IF(OR($C25="Long call",$C25="Long put"),$I25*$E$2*$H25,(IF($C25="Covered call",$J25,$F25)-$I25)*$E$2*$H25))</f>
        <v/>
      </c>
      <c r="X25" s="17" t="str">
        <f aca="false">IF(OR($C25="",$AA25="Open"),"",IF($W25&gt;0,$V25/$W25,""))</f>
        <v/>
      </c>
      <c r="Y25" s="17" t="str">
        <f aca="false">IF(OR($C25="",$AA25="Open"),"",IF($W25&gt;0,$X25*365/MAX($Q25,1),""))</f>
        <v/>
      </c>
      <c r="Z25" s="18" t="str">
        <f aca="false">IF(OR($C25="",$AA25="Open"),"",IF($M25&lt;&gt;"",$M25,$G25))</f>
        <v/>
      </c>
      <c r="AA25" s="12" t="str">
        <f aca="false">IF($C25="","",IF(OR($L25="Open",$L25=""),"Open","Realized"))</f>
        <v/>
      </c>
    </row>
    <row r="26" customFormat="false" ht="15" hidden="false" customHeight="false" outlineLevel="0" collapsed="false">
      <c r="A26" s="7"/>
      <c r="B26" s="9"/>
      <c r="C26" s="9"/>
      <c r="D26" s="12" t="str">
        <f aca="false">IF($C26="","",IF(OR($C26="Long call",$C26="Covered call"),"Call","Put"))</f>
        <v/>
      </c>
      <c r="E26" s="12" t="str">
        <f aca="false">IF($C26="","",IF(OR($C26="Long call",$C26="Long put"),"Buy to open","Sell to open"))</f>
        <v/>
      </c>
      <c r="F26" s="13"/>
      <c r="G26" s="7"/>
      <c r="H26" s="14"/>
      <c r="I26" s="13"/>
      <c r="J26" s="13"/>
      <c r="K26" s="13"/>
      <c r="L26" s="9"/>
      <c r="M26" s="7"/>
      <c r="N26" s="13"/>
      <c r="O26" s="15" t="str">
        <f aca="false">IF($C26="","",IF($E26="Sell to open",1,-1)*$I26*$E$2*$H26)</f>
        <v/>
      </c>
      <c r="P26" s="15" t="str">
        <f aca="false">IF($C26="","",IF($C26="Long call",$F26+$I26,IF($C26="Covered call",$J26-$I26,$F26-$I26)))</f>
        <v/>
      </c>
      <c r="Q26" s="16" t="str">
        <f aca="false">IF($C26="","",IF($AA26="Open",$B$2,IF($M26&lt;&gt;"",$M26,$G26))-$A26)</f>
        <v/>
      </c>
      <c r="R26" s="16" t="str">
        <f aca="false">IF($C26="","",IF($AA26="Open",MAX($G26-$B$2,0),""))</f>
        <v/>
      </c>
      <c r="S26" s="15" t="str">
        <f aca="false">IF(OR($C26="",$AA26="Open"),"",IF($L26="Closed",-IF($E26="Sell to open",1,-1)*$N26*$E$2*$H26,0))</f>
        <v/>
      </c>
      <c r="T26" s="15" t="str">
        <f aca="false">IF(OR($C26="",$AA26="Open"),"",$O26+$S26-$K26)</f>
        <v/>
      </c>
      <c r="U26" s="15" t="str">
        <f aca="false">IF(OR($C26="",$AA26="Open"),"",IF(AND($C26="Covered call",$L26="Assigned"),($F26-$J26)*$E$2*$H26,0))</f>
        <v/>
      </c>
      <c r="V26" s="15" t="str">
        <f aca="false">IF(OR($C26="",$AA26="Open"),"",$T26+$U26)</f>
        <v/>
      </c>
      <c r="W26" s="15" t="str">
        <f aca="false">IF($C26="","",IF(OR($C26="Long call",$C26="Long put"),$I26*$E$2*$H26,(IF($C26="Covered call",$J26,$F26)-$I26)*$E$2*$H26))</f>
        <v/>
      </c>
      <c r="X26" s="17" t="str">
        <f aca="false">IF(OR($C26="",$AA26="Open"),"",IF($W26&gt;0,$V26/$W26,""))</f>
        <v/>
      </c>
      <c r="Y26" s="17" t="str">
        <f aca="false">IF(OR($C26="",$AA26="Open"),"",IF($W26&gt;0,$X26*365/MAX($Q26,1),""))</f>
        <v/>
      </c>
      <c r="Z26" s="18" t="str">
        <f aca="false">IF(OR($C26="",$AA26="Open"),"",IF($M26&lt;&gt;"",$M26,$G26))</f>
        <v/>
      </c>
      <c r="AA26" s="12" t="str">
        <f aca="false">IF($C26="","",IF(OR($L26="Open",$L26=""),"Open","Realized"))</f>
        <v/>
      </c>
    </row>
    <row r="27" customFormat="false" ht="15" hidden="false" customHeight="false" outlineLevel="0" collapsed="false">
      <c r="A27" s="7"/>
      <c r="B27" s="9"/>
      <c r="C27" s="9"/>
      <c r="D27" s="12" t="str">
        <f aca="false">IF($C27="","",IF(OR($C27="Long call",$C27="Covered call"),"Call","Put"))</f>
        <v/>
      </c>
      <c r="E27" s="12" t="str">
        <f aca="false">IF($C27="","",IF(OR($C27="Long call",$C27="Long put"),"Buy to open","Sell to open"))</f>
        <v/>
      </c>
      <c r="F27" s="13"/>
      <c r="G27" s="7"/>
      <c r="H27" s="14"/>
      <c r="I27" s="13"/>
      <c r="J27" s="13"/>
      <c r="K27" s="13"/>
      <c r="L27" s="9"/>
      <c r="M27" s="7"/>
      <c r="N27" s="13"/>
      <c r="O27" s="15" t="str">
        <f aca="false">IF($C27="","",IF($E27="Sell to open",1,-1)*$I27*$E$2*$H27)</f>
        <v/>
      </c>
      <c r="P27" s="15" t="str">
        <f aca="false">IF($C27="","",IF($C27="Long call",$F27+$I27,IF($C27="Covered call",$J27-$I27,$F27-$I27)))</f>
        <v/>
      </c>
      <c r="Q27" s="16" t="str">
        <f aca="false">IF($C27="","",IF($AA27="Open",$B$2,IF($M27&lt;&gt;"",$M27,$G27))-$A27)</f>
        <v/>
      </c>
      <c r="R27" s="16" t="str">
        <f aca="false">IF($C27="","",IF($AA27="Open",MAX($G27-$B$2,0),""))</f>
        <v/>
      </c>
      <c r="S27" s="15" t="str">
        <f aca="false">IF(OR($C27="",$AA27="Open"),"",IF($L27="Closed",-IF($E27="Sell to open",1,-1)*$N27*$E$2*$H27,0))</f>
        <v/>
      </c>
      <c r="T27" s="15" t="str">
        <f aca="false">IF(OR($C27="",$AA27="Open"),"",$O27+$S27-$K27)</f>
        <v/>
      </c>
      <c r="U27" s="15" t="str">
        <f aca="false">IF(OR($C27="",$AA27="Open"),"",IF(AND($C27="Covered call",$L27="Assigned"),($F27-$J27)*$E$2*$H27,0))</f>
        <v/>
      </c>
      <c r="V27" s="15" t="str">
        <f aca="false">IF(OR($C27="",$AA27="Open"),"",$T27+$U27)</f>
        <v/>
      </c>
      <c r="W27" s="15" t="str">
        <f aca="false">IF($C27="","",IF(OR($C27="Long call",$C27="Long put"),$I27*$E$2*$H27,(IF($C27="Covered call",$J27,$F27)-$I27)*$E$2*$H27))</f>
        <v/>
      </c>
      <c r="X27" s="17" t="str">
        <f aca="false">IF(OR($C27="",$AA27="Open"),"",IF($W27&gt;0,$V27/$W27,""))</f>
        <v/>
      </c>
      <c r="Y27" s="17" t="str">
        <f aca="false">IF(OR($C27="",$AA27="Open"),"",IF($W27&gt;0,$X27*365/MAX($Q27,1),""))</f>
        <v/>
      </c>
      <c r="Z27" s="18" t="str">
        <f aca="false">IF(OR($C27="",$AA27="Open"),"",IF($M27&lt;&gt;"",$M27,$G27))</f>
        <v/>
      </c>
      <c r="AA27" s="12" t="str">
        <f aca="false">IF($C27="","",IF(OR($L27="Open",$L27=""),"Open","Realized"))</f>
        <v/>
      </c>
    </row>
    <row r="28" customFormat="false" ht="15" hidden="false" customHeight="false" outlineLevel="0" collapsed="false">
      <c r="A28" s="7"/>
      <c r="B28" s="9"/>
      <c r="C28" s="9"/>
      <c r="D28" s="12" t="str">
        <f aca="false">IF($C28="","",IF(OR($C28="Long call",$C28="Covered call"),"Call","Put"))</f>
        <v/>
      </c>
      <c r="E28" s="12" t="str">
        <f aca="false">IF($C28="","",IF(OR($C28="Long call",$C28="Long put"),"Buy to open","Sell to open"))</f>
        <v/>
      </c>
      <c r="F28" s="13"/>
      <c r="G28" s="7"/>
      <c r="H28" s="14"/>
      <c r="I28" s="13"/>
      <c r="J28" s="13"/>
      <c r="K28" s="13"/>
      <c r="L28" s="9"/>
      <c r="M28" s="7"/>
      <c r="N28" s="13"/>
      <c r="O28" s="15" t="str">
        <f aca="false">IF($C28="","",IF($E28="Sell to open",1,-1)*$I28*$E$2*$H28)</f>
        <v/>
      </c>
      <c r="P28" s="15" t="str">
        <f aca="false">IF($C28="","",IF($C28="Long call",$F28+$I28,IF($C28="Covered call",$J28-$I28,$F28-$I28)))</f>
        <v/>
      </c>
      <c r="Q28" s="16" t="str">
        <f aca="false">IF($C28="","",IF($AA28="Open",$B$2,IF($M28&lt;&gt;"",$M28,$G28))-$A28)</f>
        <v/>
      </c>
      <c r="R28" s="16" t="str">
        <f aca="false">IF($C28="","",IF($AA28="Open",MAX($G28-$B$2,0),""))</f>
        <v/>
      </c>
      <c r="S28" s="15" t="str">
        <f aca="false">IF(OR($C28="",$AA28="Open"),"",IF($L28="Closed",-IF($E28="Sell to open",1,-1)*$N28*$E$2*$H28,0))</f>
        <v/>
      </c>
      <c r="T28" s="15" t="str">
        <f aca="false">IF(OR($C28="",$AA28="Open"),"",$O28+$S28-$K28)</f>
        <v/>
      </c>
      <c r="U28" s="15" t="str">
        <f aca="false">IF(OR($C28="",$AA28="Open"),"",IF(AND($C28="Covered call",$L28="Assigned"),($F28-$J28)*$E$2*$H28,0))</f>
        <v/>
      </c>
      <c r="V28" s="15" t="str">
        <f aca="false">IF(OR($C28="",$AA28="Open"),"",$T28+$U28)</f>
        <v/>
      </c>
      <c r="W28" s="15" t="str">
        <f aca="false">IF($C28="","",IF(OR($C28="Long call",$C28="Long put"),$I28*$E$2*$H28,(IF($C28="Covered call",$J28,$F28)-$I28)*$E$2*$H28))</f>
        <v/>
      </c>
      <c r="X28" s="17" t="str">
        <f aca="false">IF(OR($C28="",$AA28="Open"),"",IF($W28&gt;0,$V28/$W28,""))</f>
        <v/>
      </c>
      <c r="Y28" s="17" t="str">
        <f aca="false">IF(OR($C28="",$AA28="Open"),"",IF($W28&gt;0,$X28*365/MAX($Q28,1),""))</f>
        <v/>
      </c>
      <c r="Z28" s="18" t="str">
        <f aca="false">IF(OR($C28="",$AA28="Open"),"",IF($M28&lt;&gt;"",$M28,$G28))</f>
        <v/>
      </c>
      <c r="AA28" s="12" t="str">
        <f aca="false">IF($C28="","",IF(OR($L28="Open",$L28=""),"Open","Realized"))</f>
        <v/>
      </c>
    </row>
    <row r="29" customFormat="false" ht="15" hidden="false" customHeight="false" outlineLevel="0" collapsed="false">
      <c r="A29" s="7"/>
      <c r="B29" s="9"/>
      <c r="C29" s="9"/>
      <c r="D29" s="12" t="str">
        <f aca="false">IF($C29="","",IF(OR($C29="Long call",$C29="Covered call"),"Call","Put"))</f>
        <v/>
      </c>
      <c r="E29" s="12" t="str">
        <f aca="false">IF($C29="","",IF(OR($C29="Long call",$C29="Long put"),"Buy to open","Sell to open"))</f>
        <v/>
      </c>
      <c r="F29" s="13"/>
      <c r="G29" s="7"/>
      <c r="H29" s="14"/>
      <c r="I29" s="13"/>
      <c r="J29" s="13"/>
      <c r="K29" s="13"/>
      <c r="L29" s="9"/>
      <c r="M29" s="7"/>
      <c r="N29" s="13"/>
      <c r="O29" s="15" t="str">
        <f aca="false">IF($C29="","",IF($E29="Sell to open",1,-1)*$I29*$E$2*$H29)</f>
        <v/>
      </c>
      <c r="P29" s="15" t="str">
        <f aca="false">IF($C29="","",IF($C29="Long call",$F29+$I29,IF($C29="Covered call",$J29-$I29,$F29-$I29)))</f>
        <v/>
      </c>
      <c r="Q29" s="16" t="str">
        <f aca="false">IF($C29="","",IF($AA29="Open",$B$2,IF($M29&lt;&gt;"",$M29,$G29))-$A29)</f>
        <v/>
      </c>
      <c r="R29" s="16" t="str">
        <f aca="false">IF($C29="","",IF($AA29="Open",MAX($G29-$B$2,0),""))</f>
        <v/>
      </c>
      <c r="S29" s="15" t="str">
        <f aca="false">IF(OR($C29="",$AA29="Open"),"",IF($L29="Closed",-IF($E29="Sell to open",1,-1)*$N29*$E$2*$H29,0))</f>
        <v/>
      </c>
      <c r="T29" s="15" t="str">
        <f aca="false">IF(OR($C29="",$AA29="Open"),"",$O29+$S29-$K29)</f>
        <v/>
      </c>
      <c r="U29" s="15" t="str">
        <f aca="false">IF(OR($C29="",$AA29="Open"),"",IF(AND($C29="Covered call",$L29="Assigned"),($F29-$J29)*$E$2*$H29,0))</f>
        <v/>
      </c>
      <c r="V29" s="15" t="str">
        <f aca="false">IF(OR($C29="",$AA29="Open"),"",$T29+$U29)</f>
        <v/>
      </c>
      <c r="W29" s="15" t="str">
        <f aca="false">IF($C29="","",IF(OR($C29="Long call",$C29="Long put"),$I29*$E$2*$H29,(IF($C29="Covered call",$J29,$F29)-$I29)*$E$2*$H29))</f>
        <v/>
      </c>
      <c r="X29" s="17" t="str">
        <f aca="false">IF(OR($C29="",$AA29="Open"),"",IF($W29&gt;0,$V29/$W29,""))</f>
        <v/>
      </c>
      <c r="Y29" s="17" t="str">
        <f aca="false">IF(OR($C29="",$AA29="Open"),"",IF($W29&gt;0,$X29*365/MAX($Q29,1),""))</f>
        <v/>
      </c>
      <c r="Z29" s="18" t="str">
        <f aca="false">IF(OR($C29="",$AA29="Open"),"",IF($M29&lt;&gt;"",$M29,$G29))</f>
        <v/>
      </c>
      <c r="AA29" s="12" t="str">
        <f aca="false">IF($C29="","",IF(OR($L29="Open",$L29=""),"Open","Realized"))</f>
        <v/>
      </c>
    </row>
    <row r="30" customFormat="false" ht="15" hidden="false" customHeight="false" outlineLevel="0" collapsed="false">
      <c r="A30" s="7"/>
      <c r="B30" s="9"/>
      <c r="C30" s="9"/>
      <c r="D30" s="12" t="str">
        <f aca="false">IF($C30="","",IF(OR($C30="Long call",$C30="Covered call"),"Call","Put"))</f>
        <v/>
      </c>
      <c r="E30" s="12" t="str">
        <f aca="false">IF($C30="","",IF(OR($C30="Long call",$C30="Long put"),"Buy to open","Sell to open"))</f>
        <v/>
      </c>
      <c r="F30" s="13"/>
      <c r="G30" s="7"/>
      <c r="H30" s="14"/>
      <c r="I30" s="13"/>
      <c r="J30" s="13"/>
      <c r="K30" s="13"/>
      <c r="L30" s="9"/>
      <c r="M30" s="7"/>
      <c r="N30" s="13"/>
      <c r="O30" s="15" t="str">
        <f aca="false">IF($C30="","",IF($E30="Sell to open",1,-1)*$I30*$E$2*$H30)</f>
        <v/>
      </c>
      <c r="P30" s="15" t="str">
        <f aca="false">IF($C30="","",IF($C30="Long call",$F30+$I30,IF($C30="Covered call",$J30-$I30,$F30-$I30)))</f>
        <v/>
      </c>
      <c r="Q30" s="16" t="str">
        <f aca="false">IF($C30="","",IF($AA30="Open",$B$2,IF($M30&lt;&gt;"",$M30,$G30))-$A30)</f>
        <v/>
      </c>
      <c r="R30" s="16" t="str">
        <f aca="false">IF($C30="","",IF($AA30="Open",MAX($G30-$B$2,0),""))</f>
        <v/>
      </c>
      <c r="S30" s="15" t="str">
        <f aca="false">IF(OR($C30="",$AA30="Open"),"",IF($L30="Closed",-IF($E30="Sell to open",1,-1)*$N30*$E$2*$H30,0))</f>
        <v/>
      </c>
      <c r="T30" s="15" t="str">
        <f aca="false">IF(OR($C30="",$AA30="Open"),"",$O30+$S30-$K30)</f>
        <v/>
      </c>
      <c r="U30" s="15" t="str">
        <f aca="false">IF(OR($C30="",$AA30="Open"),"",IF(AND($C30="Covered call",$L30="Assigned"),($F30-$J30)*$E$2*$H30,0))</f>
        <v/>
      </c>
      <c r="V30" s="15" t="str">
        <f aca="false">IF(OR($C30="",$AA30="Open"),"",$T30+$U30)</f>
        <v/>
      </c>
      <c r="W30" s="15" t="str">
        <f aca="false">IF($C30="","",IF(OR($C30="Long call",$C30="Long put"),$I30*$E$2*$H30,(IF($C30="Covered call",$J30,$F30)-$I30)*$E$2*$H30))</f>
        <v/>
      </c>
      <c r="X30" s="17" t="str">
        <f aca="false">IF(OR($C30="",$AA30="Open"),"",IF($W30&gt;0,$V30/$W30,""))</f>
        <v/>
      </c>
      <c r="Y30" s="17" t="str">
        <f aca="false">IF(OR($C30="",$AA30="Open"),"",IF($W30&gt;0,$X30*365/MAX($Q30,1),""))</f>
        <v/>
      </c>
      <c r="Z30" s="18" t="str">
        <f aca="false">IF(OR($C30="",$AA30="Open"),"",IF($M30&lt;&gt;"",$M30,$G30))</f>
        <v/>
      </c>
      <c r="AA30" s="12" t="str">
        <f aca="false">IF($C30="","",IF(OR($L30="Open",$L30=""),"Open","Realized"))</f>
        <v/>
      </c>
    </row>
    <row r="31" customFormat="false" ht="15" hidden="false" customHeight="false" outlineLevel="0" collapsed="false">
      <c r="A31" s="7"/>
      <c r="B31" s="9"/>
      <c r="C31" s="9"/>
      <c r="D31" s="12" t="str">
        <f aca="false">IF($C31="","",IF(OR($C31="Long call",$C31="Covered call"),"Call","Put"))</f>
        <v/>
      </c>
      <c r="E31" s="12" t="str">
        <f aca="false">IF($C31="","",IF(OR($C31="Long call",$C31="Long put"),"Buy to open","Sell to open"))</f>
        <v/>
      </c>
      <c r="F31" s="13"/>
      <c r="G31" s="7"/>
      <c r="H31" s="14"/>
      <c r="I31" s="13"/>
      <c r="J31" s="13"/>
      <c r="K31" s="13"/>
      <c r="L31" s="9"/>
      <c r="M31" s="7"/>
      <c r="N31" s="13"/>
      <c r="O31" s="15" t="str">
        <f aca="false">IF($C31="","",IF($E31="Sell to open",1,-1)*$I31*$E$2*$H31)</f>
        <v/>
      </c>
      <c r="P31" s="15" t="str">
        <f aca="false">IF($C31="","",IF($C31="Long call",$F31+$I31,IF($C31="Covered call",$J31-$I31,$F31-$I31)))</f>
        <v/>
      </c>
      <c r="Q31" s="16" t="str">
        <f aca="false">IF($C31="","",IF($AA31="Open",$B$2,IF($M31&lt;&gt;"",$M31,$G31))-$A31)</f>
        <v/>
      </c>
      <c r="R31" s="16" t="str">
        <f aca="false">IF($C31="","",IF($AA31="Open",MAX($G31-$B$2,0),""))</f>
        <v/>
      </c>
      <c r="S31" s="15" t="str">
        <f aca="false">IF(OR($C31="",$AA31="Open"),"",IF($L31="Closed",-IF($E31="Sell to open",1,-1)*$N31*$E$2*$H31,0))</f>
        <v/>
      </c>
      <c r="T31" s="15" t="str">
        <f aca="false">IF(OR($C31="",$AA31="Open"),"",$O31+$S31-$K31)</f>
        <v/>
      </c>
      <c r="U31" s="15" t="str">
        <f aca="false">IF(OR($C31="",$AA31="Open"),"",IF(AND($C31="Covered call",$L31="Assigned"),($F31-$J31)*$E$2*$H31,0))</f>
        <v/>
      </c>
      <c r="V31" s="15" t="str">
        <f aca="false">IF(OR($C31="",$AA31="Open"),"",$T31+$U31)</f>
        <v/>
      </c>
      <c r="W31" s="15" t="str">
        <f aca="false">IF($C31="","",IF(OR($C31="Long call",$C31="Long put"),$I31*$E$2*$H31,(IF($C31="Covered call",$J31,$F31)-$I31)*$E$2*$H31))</f>
        <v/>
      </c>
      <c r="X31" s="17" t="str">
        <f aca="false">IF(OR($C31="",$AA31="Open"),"",IF($W31&gt;0,$V31/$W31,""))</f>
        <v/>
      </c>
      <c r="Y31" s="17" t="str">
        <f aca="false">IF(OR($C31="",$AA31="Open"),"",IF($W31&gt;0,$X31*365/MAX($Q31,1),""))</f>
        <v/>
      </c>
      <c r="Z31" s="18" t="str">
        <f aca="false">IF(OR($C31="",$AA31="Open"),"",IF($M31&lt;&gt;"",$M31,$G31))</f>
        <v/>
      </c>
      <c r="AA31" s="12" t="str">
        <f aca="false">IF($C31="","",IF(OR($L31="Open",$L31=""),"Open","Realized"))</f>
        <v/>
      </c>
    </row>
    <row r="32" customFormat="false" ht="15" hidden="false" customHeight="false" outlineLevel="0" collapsed="false">
      <c r="A32" s="7"/>
      <c r="B32" s="9"/>
      <c r="C32" s="9"/>
      <c r="D32" s="12" t="str">
        <f aca="false">IF($C32="","",IF(OR($C32="Long call",$C32="Covered call"),"Call","Put"))</f>
        <v/>
      </c>
      <c r="E32" s="12" t="str">
        <f aca="false">IF($C32="","",IF(OR($C32="Long call",$C32="Long put"),"Buy to open","Sell to open"))</f>
        <v/>
      </c>
      <c r="F32" s="13"/>
      <c r="G32" s="7"/>
      <c r="H32" s="14"/>
      <c r="I32" s="13"/>
      <c r="J32" s="13"/>
      <c r="K32" s="13"/>
      <c r="L32" s="9"/>
      <c r="M32" s="7"/>
      <c r="N32" s="13"/>
      <c r="O32" s="15" t="str">
        <f aca="false">IF($C32="","",IF($E32="Sell to open",1,-1)*$I32*$E$2*$H32)</f>
        <v/>
      </c>
      <c r="P32" s="15" t="str">
        <f aca="false">IF($C32="","",IF($C32="Long call",$F32+$I32,IF($C32="Covered call",$J32-$I32,$F32-$I32)))</f>
        <v/>
      </c>
      <c r="Q32" s="16" t="str">
        <f aca="false">IF($C32="","",IF($AA32="Open",$B$2,IF($M32&lt;&gt;"",$M32,$G32))-$A32)</f>
        <v/>
      </c>
      <c r="R32" s="16" t="str">
        <f aca="false">IF($C32="","",IF($AA32="Open",MAX($G32-$B$2,0),""))</f>
        <v/>
      </c>
      <c r="S32" s="15" t="str">
        <f aca="false">IF(OR($C32="",$AA32="Open"),"",IF($L32="Closed",-IF($E32="Sell to open",1,-1)*$N32*$E$2*$H32,0))</f>
        <v/>
      </c>
      <c r="T32" s="15" t="str">
        <f aca="false">IF(OR($C32="",$AA32="Open"),"",$O32+$S32-$K32)</f>
        <v/>
      </c>
      <c r="U32" s="15" t="str">
        <f aca="false">IF(OR($C32="",$AA32="Open"),"",IF(AND($C32="Covered call",$L32="Assigned"),($F32-$J32)*$E$2*$H32,0))</f>
        <v/>
      </c>
      <c r="V32" s="15" t="str">
        <f aca="false">IF(OR($C32="",$AA32="Open"),"",$T32+$U32)</f>
        <v/>
      </c>
      <c r="W32" s="15" t="str">
        <f aca="false">IF($C32="","",IF(OR($C32="Long call",$C32="Long put"),$I32*$E$2*$H32,(IF($C32="Covered call",$J32,$F32)-$I32)*$E$2*$H32))</f>
        <v/>
      </c>
      <c r="X32" s="17" t="str">
        <f aca="false">IF(OR($C32="",$AA32="Open"),"",IF($W32&gt;0,$V32/$W32,""))</f>
        <v/>
      </c>
      <c r="Y32" s="17" t="str">
        <f aca="false">IF(OR($C32="",$AA32="Open"),"",IF($W32&gt;0,$X32*365/MAX($Q32,1),""))</f>
        <v/>
      </c>
      <c r="Z32" s="18" t="str">
        <f aca="false">IF(OR($C32="",$AA32="Open"),"",IF($M32&lt;&gt;"",$M32,$G32))</f>
        <v/>
      </c>
      <c r="AA32" s="12" t="str">
        <f aca="false">IF($C32="","",IF(OR($L32="Open",$L32=""),"Open","Realized"))</f>
        <v/>
      </c>
    </row>
    <row r="33" customFormat="false" ht="15" hidden="false" customHeight="false" outlineLevel="0" collapsed="false">
      <c r="A33" s="7"/>
      <c r="B33" s="9"/>
      <c r="C33" s="9"/>
      <c r="D33" s="12" t="str">
        <f aca="false">IF($C33="","",IF(OR($C33="Long call",$C33="Covered call"),"Call","Put"))</f>
        <v/>
      </c>
      <c r="E33" s="12" t="str">
        <f aca="false">IF($C33="","",IF(OR($C33="Long call",$C33="Long put"),"Buy to open","Sell to open"))</f>
        <v/>
      </c>
      <c r="F33" s="13"/>
      <c r="G33" s="7"/>
      <c r="H33" s="14"/>
      <c r="I33" s="13"/>
      <c r="J33" s="13"/>
      <c r="K33" s="13"/>
      <c r="L33" s="9"/>
      <c r="M33" s="7"/>
      <c r="N33" s="13"/>
      <c r="O33" s="15" t="str">
        <f aca="false">IF($C33="","",IF($E33="Sell to open",1,-1)*$I33*$E$2*$H33)</f>
        <v/>
      </c>
      <c r="P33" s="15" t="str">
        <f aca="false">IF($C33="","",IF($C33="Long call",$F33+$I33,IF($C33="Covered call",$J33-$I33,$F33-$I33)))</f>
        <v/>
      </c>
      <c r="Q33" s="16" t="str">
        <f aca="false">IF($C33="","",IF($AA33="Open",$B$2,IF($M33&lt;&gt;"",$M33,$G33))-$A33)</f>
        <v/>
      </c>
      <c r="R33" s="16" t="str">
        <f aca="false">IF($C33="","",IF($AA33="Open",MAX($G33-$B$2,0),""))</f>
        <v/>
      </c>
      <c r="S33" s="15" t="str">
        <f aca="false">IF(OR($C33="",$AA33="Open"),"",IF($L33="Closed",-IF($E33="Sell to open",1,-1)*$N33*$E$2*$H33,0))</f>
        <v/>
      </c>
      <c r="T33" s="15" t="str">
        <f aca="false">IF(OR($C33="",$AA33="Open"),"",$O33+$S33-$K33)</f>
        <v/>
      </c>
      <c r="U33" s="15" t="str">
        <f aca="false">IF(OR($C33="",$AA33="Open"),"",IF(AND($C33="Covered call",$L33="Assigned"),($F33-$J33)*$E$2*$H33,0))</f>
        <v/>
      </c>
      <c r="V33" s="15" t="str">
        <f aca="false">IF(OR($C33="",$AA33="Open"),"",$T33+$U33)</f>
        <v/>
      </c>
      <c r="W33" s="15" t="str">
        <f aca="false">IF($C33="","",IF(OR($C33="Long call",$C33="Long put"),$I33*$E$2*$H33,(IF($C33="Covered call",$J33,$F33)-$I33)*$E$2*$H33))</f>
        <v/>
      </c>
      <c r="X33" s="17" t="str">
        <f aca="false">IF(OR($C33="",$AA33="Open"),"",IF($W33&gt;0,$V33/$W33,""))</f>
        <v/>
      </c>
      <c r="Y33" s="17" t="str">
        <f aca="false">IF(OR($C33="",$AA33="Open"),"",IF($W33&gt;0,$X33*365/MAX($Q33,1),""))</f>
        <v/>
      </c>
      <c r="Z33" s="18" t="str">
        <f aca="false">IF(OR($C33="",$AA33="Open"),"",IF($M33&lt;&gt;"",$M33,$G33))</f>
        <v/>
      </c>
      <c r="AA33" s="12" t="str">
        <f aca="false">IF($C33="","",IF(OR($L33="Open",$L33=""),"Open","Realized"))</f>
        <v/>
      </c>
    </row>
    <row r="34" customFormat="false" ht="15" hidden="false" customHeight="false" outlineLevel="0" collapsed="false">
      <c r="A34" s="7"/>
      <c r="B34" s="9"/>
      <c r="C34" s="9"/>
      <c r="D34" s="12" t="str">
        <f aca="false">IF($C34="","",IF(OR($C34="Long call",$C34="Covered call"),"Call","Put"))</f>
        <v/>
      </c>
      <c r="E34" s="12" t="str">
        <f aca="false">IF($C34="","",IF(OR($C34="Long call",$C34="Long put"),"Buy to open","Sell to open"))</f>
        <v/>
      </c>
      <c r="F34" s="13"/>
      <c r="G34" s="7"/>
      <c r="H34" s="14"/>
      <c r="I34" s="13"/>
      <c r="J34" s="13"/>
      <c r="K34" s="13"/>
      <c r="L34" s="9"/>
      <c r="M34" s="7"/>
      <c r="N34" s="13"/>
      <c r="O34" s="15" t="str">
        <f aca="false">IF($C34="","",IF($E34="Sell to open",1,-1)*$I34*$E$2*$H34)</f>
        <v/>
      </c>
      <c r="P34" s="15" t="str">
        <f aca="false">IF($C34="","",IF($C34="Long call",$F34+$I34,IF($C34="Covered call",$J34-$I34,$F34-$I34)))</f>
        <v/>
      </c>
      <c r="Q34" s="16" t="str">
        <f aca="false">IF($C34="","",IF($AA34="Open",$B$2,IF($M34&lt;&gt;"",$M34,$G34))-$A34)</f>
        <v/>
      </c>
      <c r="R34" s="16" t="str">
        <f aca="false">IF($C34="","",IF($AA34="Open",MAX($G34-$B$2,0),""))</f>
        <v/>
      </c>
      <c r="S34" s="15" t="str">
        <f aca="false">IF(OR($C34="",$AA34="Open"),"",IF($L34="Closed",-IF($E34="Sell to open",1,-1)*$N34*$E$2*$H34,0))</f>
        <v/>
      </c>
      <c r="T34" s="15" t="str">
        <f aca="false">IF(OR($C34="",$AA34="Open"),"",$O34+$S34-$K34)</f>
        <v/>
      </c>
      <c r="U34" s="15" t="str">
        <f aca="false">IF(OR($C34="",$AA34="Open"),"",IF(AND($C34="Covered call",$L34="Assigned"),($F34-$J34)*$E$2*$H34,0))</f>
        <v/>
      </c>
      <c r="V34" s="15" t="str">
        <f aca="false">IF(OR($C34="",$AA34="Open"),"",$T34+$U34)</f>
        <v/>
      </c>
      <c r="W34" s="15" t="str">
        <f aca="false">IF($C34="","",IF(OR($C34="Long call",$C34="Long put"),$I34*$E$2*$H34,(IF($C34="Covered call",$J34,$F34)-$I34)*$E$2*$H34))</f>
        <v/>
      </c>
      <c r="X34" s="17" t="str">
        <f aca="false">IF(OR($C34="",$AA34="Open"),"",IF($W34&gt;0,$V34/$W34,""))</f>
        <v/>
      </c>
      <c r="Y34" s="17" t="str">
        <f aca="false">IF(OR($C34="",$AA34="Open"),"",IF($W34&gt;0,$X34*365/MAX($Q34,1),""))</f>
        <v/>
      </c>
      <c r="Z34" s="18" t="str">
        <f aca="false">IF(OR($C34="",$AA34="Open"),"",IF($M34&lt;&gt;"",$M34,$G34))</f>
        <v/>
      </c>
      <c r="AA34" s="12" t="str">
        <f aca="false">IF($C34="","",IF(OR($L34="Open",$L34=""),"Open","Realized"))</f>
        <v/>
      </c>
    </row>
    <row r="35" customFormat="false" ht="15" hidden="false" customHeight="false" outlineLevel="0" collapsed="false">
      <c r="A35" s="7"/>
      <c r="B35" s="9"/>
      <c r="C35" s="9"/>
      <c r="D35" s="12" t="str">
        <f aca="false">IF($C35="","",IF(OR($C35="Long call",$C35="Covered call"),"Call","Put"))</f>
        <v/>
      </c>
      <c r="E35" s="12" t="str">
        <f aca="false">IF($C35="","",IF(OR($C35="Long call",$C35="Long put"),"Buy to open","Sell to open"))</f>
        <v/>
      </c>
      <c r="F35" s="13"/>
      <c r="G35" s="7"/>
      <c r="H35" s="14"/>
      <c r="I35" s="13"/>
      <c r="J35" s="13"/>
      <c r="K35" s="13"/>
      <c r="L35" s="9"/>
      <c r="M35" s="7"/>
      <c r="N35" s="13"/>
      <c r="O35" s="15" t="str">
        <f aca="false">IF($C35="","",IF($E35="Sell to open",1,-1)*$I35*$E$2*$H35)</f>
        <v/>
      </c>
      <c r="P35" s="15" t="str">
        <f aca="false">IF($C35="","",IF($C35="Long call",$F35+$I35,IF($C35="Covered call",$J35-$I35,$F35-$I35)))</f>
        <v/>
      </c>
      <c r="Q35" s="16" t="str">
        <f aca="false">IF($C35="","",IF($AA35="Open",$B$2,IF($M35&lt;&gt;"",$M35,$G35))-$A35)</f>
        <v/>
      </c>
      <c r="R35" s="16" t="str">
        <f aca="false">IF($C35="","",IF($AA35="Open",MAX($G35-$B$2,0),""))</f>
        <v/>
      </c>
      <c r="S35" s="15" t="str">
        <f aca="false">IF(OR($C35="",$AA35="Open"),"",IF($L35="Closed",-IF($E35="Sell to open",1,-1)*$N35*$E$2*$H35,0))</f>
        <v/>
      </c>
      <c r="T35" s="15" t="str">
        <f aca="false">IF(OR($C35="",$AA35="Open"),"",$O35+$S35-$K35)</f>
        <v/>
      </c>
      <c r="U35" s="15" t="str">
        <f aca="false">IF(OR($C35="",$AA35="Open"),"",IF(AND($C35="Covered call",$L35="Assigned"),($F35-$J35)*$E$2*$H35,0))</f>
        <v/>
      </c>
      <c r="V35" s="15" t="str">
        <f aca="false">IF(OR($C35="",$AA35="Open"),"",$T35+$U35)</f>
        <v/>
      </c>
      <c r="W35" s="15" t="str">
        <f aca="false">IF($C35="","",IF(OR($C35="Long call",$C35="Long put"),$I35*$E$2*$H35,(IF($C35="Covered call",$J35,$F35)-$I35)*$E$2*$H35))</f>
        <v/>
      </c>
      <c r="X35" s="17" t="str">
        <f aca="false">IF(OR($C35="",$AA35="Open"),"",IF($W35&gt;0,$V35/$W35,""))</f>
        <v/>
      </c>
      <c r="Y35" s="17" t="str">
        <f aca="false">IF(OR($C35="",$AA35="Open"),"",IF($W35&gt;0,$X35*365/MAX($Q35,1),""))</f>
        <v/>
      </c>
      <c r="Z35" s="18" t="str">
        <f aca="false">IF(OR($C35="",$AA35="Open"),"",IF($M35&lt;&gt;"",$M35,$G35))</f>
        <v/>
      </c>
      <c r="AA35" s="12" t="str">
        <f aca="false">IF($C35="","",IF(OR($L35="Open",$L35=""),"Open","Realized"))</f>
        <v/>
      </c>
    </row>
    <row r="36" customFormat="false" ht="15" hidden="false" customHeight="false" outlineLevel="0" collapsed="false">
      <c r="A36" s="7"/>
      <c r="B36" s="9"/>
      <c r="C36" s="9"/>
      <c r="D36" s="12" t="str">
        <f aca="false">IF($C36="","",IF(OR($C36="Long call",$C36="Covered call"),"Call","Put"))</f>
        <v/>
      </c>
      <c r="E36" s="12" t="str">
        <f aca="false">IF($C36="","",IF(OR($C36="Long call",$C36="Long put"),"Buy to open","Sell to open"))</f>
        <v/>
      </c>
      <c r="F36" s="13"/>
      <c r="G36" s="7"/>
      <c r="H36" s="14"/>
      <c r="I36" s="13"/>
      <c r="J36" s="13"/>
      <c r="K36" s="13"/>
      <c r="L36" s="9"/>
      <c r="M36" s="7"/>
      <c r="N36" s="13"/>
      <c r="O36" s="15" t="str">
        <f aca="false">IF($C36="","",IF($E36="Sell to open",1,-1)*$I36*$E$2*$H36)</f>
        <v/>
      </c>
      <c r="P36" s="15" t="str">
        <f aca="false">IF($C36="","",IF($C36="Long call",$F36+$I36,IF($C36="Covered call",$J36-$I36,$F36-$I36)))</f>
        <v/>
      </c>
      <c r="Q36" s="16" t="str">
        <f aca="false">IF($C36="","",IF($AA36="Open",$B$2,IF($M36&lt;&gt;"",$M36,$G36))-$A36)</f>
        <v/>
      </c>
      <c r="R36" s="16" t="str">
        <f aca="false">IF($C36="","",IF($AA36="Open",MAX($G36-$B$2,0),""))</f>
        <v/>
      </c>
      <c r="S36" s="15" t="str">
        <f aca="false">IF(OR($C36="",$AA36="Open"),"",IF($L36="Closed",-IF($E36="Sell to open",1,-1)*$N36*$E$2*$H36,0))</f>
        <v/>
      </c>
      <c r="T36" s="15" t="str">
        <f aca="false">IF(OR($C36="",$AA36="Open"),"",$O36+$S36-$K36)</f>
        <v/>
      </c>
      <c r="U36" s="15" t="str">
        <f aca="false">IF(OR($C36="",$AA36="Open"),"",IF(AND($C36="Covered call",$L36="Assigned"),($F36-$J36)*$E$2*$H36,0))</f>
        <v/>
      </c>
      <c r="V36" s="15" t="str">
        <f aca="false">IF(OR($C36="",$AA36="Open"),"",$T36+$U36)</f>
        <v/>
      </c>
      <c r="W36" s="15" t="str">
        <f aca="false">IF($C36="","",IF(OR($C36="Long call",$C36="Long put"),$I36*$E$2*$H36,(IF($C36="Covered call",$J36,$F36)-$I36)*$E$2*$H36))</f>
        <v/>
      </c>
      <c r="X36" s="17" t="str">
        <f aca="false">IF(OR($C36="",$AA36="Open"),"",IF($W36&gt;0,$V36/$W36,""))</f>
        <v/>
      </c>
      <c r="Y36" s="17" t="str">
        <f aca="false">IF(OR($C36="",$AA36="Open"),"",IF($W36&gt;0,$X36*365/MAX($Q36,1),""))</f>
        <v/>
      </c>
      <c r="Z36" s="18" t="str">
        <f aca="false">IF(OR($C36="",$AA36="Open"),"",IF($M36&lt;&gt;"",$M36,$G36))</f>
        <v/>
      </c>
      <c r="AA36" s="12" t="str">
        <f aca="false">IF($C36="","",IF(OR($L36="Open",$L36=""),"Open","Realized"))</f>
        <v/>
      </c>
    </row>
    <row r="37" customFormat="false" ht="15" hidden="false" customHeight="false" outlineLevel="0" collapsed="false">
      <c r="A37" s="7"/>
      <c r="B37" s="9"/>
      <c r="C37" s="9"/>
      <c r="D37" s="12" t="str">
        <f aca="false">IF($C37="","",IF(OR($C37="Long call",$C37="Covered call"),"Call","Put"))</f>
        <v/>
      </c>
      <c r="E37" s="12" t="str">
        <f aca="false">IF($C37="","",IF(OR($C37="Long call",$C37="Long put"),"Buy to open","Sell to open"))</f>
        <v/>
      </c>
      <c r="F37" s="13"/>
      <c r="G37" s="7"/>
      <c r="H37" s="14"/>
      <c r="I37" s="13"/>
      <c r="J37" s="13"/>
      <c r="K37" s="13"/>
      <c r="L37" s="9"/>
      <c r="M37" s="7"/>
      <c r="N37" s="13"/>
      <c r="O37" s="15" t="str">
        <f aca="false">IF($C37="","",IF($E37="Sell to open",1,-1)*$I37*$E$2*$H37)</f>
        <v/>
      </c>
      <c r="P37" s="15" t="str">
        <f aca="false">IF($C37="","",IF($C37="Long call",$F37+$I37,IF($C37="Covered call",$J37-$I37,$F37-$I37)))</f>
        <v/>
      </c>
      <c r="Q37" s="16" t="str">
        <f aca="false">IF($C37="","",IF($AA37="Open",$B$2,IF($M37&lt;&gt;"",$M37,$G37))-$A37)</f>
        <v/>
      </c>
      <c r="R37" s="16" t="str">
        <f aca="false">IF($C37="","",IF($AA37="Open",MAX($G37-$B$2,0),""))</f>
        <v/>
      </c>
      <c r="S37" s="15" t="str">
        <f aca="false">IF(OR($C37="",$AA37="Open"),"",IF($L37="Closed",-IF($E37="Sell to open",1,-1)*$N37*$E$2*$H37,0))</f>
        <v/>
      </c>
      <c r="T37" s="15" t="str">
        <f aca="false">IF(OR($C37="",$AA37="Open"),"",$O37+$S37-$K37)</f>
        <v/>
      </c>
      <c r="U37" s="15" t="str">
        <f aca="false">IF(OR($C37="",$AA37="Open"),"",IF(AND($C37="Covered call",$L37="Assigned"),($F37-$J37)*$E$2*$H37,0))</f>
        <v/>
      </c>
      <c r="V37" s="15" t="str">
        <f aca="false">IF(OR($C37="",$AA37="Open"),"",$T37+$U37)</f>
        <v/>
      </c>
      <c r="W37" s="15" t="str">
        <f aca="false">IF($C37="","",IF(OR($C37="Long call",$C37="Long put"),$I37*$E$2*$H37,(IF($C37="Covered call",$J37,$F37)-$I37)*$E$2*$H37))</f>
        <v/>
      </c>
      <c r="X37" s="17" t="str">
        <f aca="false">IF(OR($C37="",$AA37="Open"),"",IF($W37&gt;0,$V37/$W37,""))</f>
        <v/>
      </c>
      <c r="Y37" s="17" t="str">
        <f aca="false">IF(OR($C37="",$AA37="Open"),"",IF($W37&gt;0,$X37*365/MAX($Q37,1),""))</f>
        <v/>
      </c>
      <c r="Z37" s="18" t="str">
        <f aca="false">IF(OR($C37="",$AA37="Open"),"",IF($M37&lt;&gt;"",$M37,$G37))</f>
        <v/>
      </c>
      <c r="AA37" s="12" t="str">
        <f aca="false">IF($C37="","",IF(OR($L37="Open",$L37=""),"Open","Realized"))</f>
        <v/>
      </c>
    </row>
    <row r="38" customFormat="false" ht="15" hidden="false" customHeight="false" outlineLevel="0" collapsed="false">
      <c r="A38" s="7"/>
      <c r="B38" s="9"/>
      <c r="C38" s="9"/>
      <c r="D38" s="12" t="str">
        <f aca="false">IF($C38="","",IF(OR($C38="Long call",$C38="Covered call"),"Call","Put"))</f>
        <v/>
      </c>
      <c r="E38" s="12" t="str">
        <f aca="false">IF($C38="","",IF(OR($C38="Long call",$C38="Long put"),"Buy to open","Sell to open"))</f>
        <v/>
      </c>
      <c r="F38" s="13"/>
      <c r="G38" s="7"/>
      <c r="H38" s="14"/>
      <c r="I38" s="13"/>
      <c r="J38" s="13"/>
      <c r="K38" s="13"/>
      <c r="L38" s="9"/>
      <c r="M38" s="7"/>
      <c r="N38" s="13"/>
      <c r="O38" s="15" t="str">
        <f aca="false">IF($C38="","",IF($E38="Sell to open",1,-1)*$I38*$E$2*$H38)</f>
        <v/>
      </c>
      <c r="P38" s="15" t="str">
        <f aca="false">IF($C38="","",IF($C38="Long call",$F38+$I38,IF($C38="Covered call",$J38-$I38,$F38-$I38)))</f>
        <v/>
      </c>
      <c r="Q38" s="16" t="str">
        <f aca="false">IF($C38="","",IF($AA38="Open",$B$2,IF($M38&lt;&gt;"",$M38,$G38))-$A38)</f>
        <v/>
      </c>
      <c r="R38" s="16" t="str">
        <f aca="false">IF($C38="","",IF($AA38="Open",MAX($G38-$B$2,0),""))</f>
        <v/>
      </c>
      <c r="S38" s="15" t="str">
        <f aca="false">IF(OR($C38="",$AA38="Open"),"",IF($L38="Closed",-IF($E38="Sell to open",1,-1)*$N38*$E$2*$H38,0))</f>
        <v/>
      </c>
      <c r="T38" s="15" t="str">
        <f aca="false">IF(OR($C38="",$AA38="Open"),"",$O38+$S38-$K38)</f>
        <v/>
      </c>
      <c r="U38" s="15" t="str">
        <f aca="false">IF(OR($C38="",$AA38="Open"),"",IF(AND($C38="Covered call",$L38="Assigned"),($F38-$J38)*$E$2*$H38,0))</f>
        <v/>
      </c>
      <c r="V38" s="15" t="str">
        <f aca="false">IF(OR($C38="",$AA38="Open"),"",$T38+$U38)</f>
        <v/>
      </c>
      <c r="W38" s="15" t="str">
        <f aca="false">IF($C38="","",IF(OR($C38="Long call",$C38="Long put"),$I38*$E$2*$H38,(IF($C38="Covered call",$J38,$F38)-$I38)*$E$2*$H38))</f>
        <v/>
      </c>
      <c r="X38" s="17" t="str">
        <f aca="false">IF(OR($C38="",$AA38="Open"),"",IF($W38&gt;0,$V38/$W38,""))</f>
        <v/>
      </c>
      <c r="Y38" s="17" t="str">
        <f aca="false">IF(OR($C38="",$AA38="Open"),"",IF($W38&gt;0,$X38*365/MAX($Q38,1),""))</f>
        <v/>
      </c>
      <c r="Z38" s="18" t="str">
        <f aca="false">IF(OR($C38="",$AA38="Open"),"",IF($M38&lt;&gt;"",$M38,$G38))</f>
        <v/>
      </c>
      <c r="AA38" s="12" t="str">
        <f aca="false">IF($C38="","",IF(OR($L38="Open",$L38=""),"Open","Realized"))</f>
        <v/>
      </c>
    </row>
    <row r="39" customFormat="false" ht="15" hidden="false" customHeight="false" outlineLevel="0" collapsed="false">
      <c r="A39" s="7"/>
      <c r="B39" s="9"/>
      <c r="C39" s="9"/>
      <c r="D39" s="12" t="str">
        <f aca="false">IF($C39="","",IF(OR($C39="Long call",$C39="Covered call"),"Call","Put"))</f>
        <v/>
      </c>
      <c r="E39" s="12" t="str">
        <f aca="false">IF($C39="","",IF(OR($C39="Long call",$C39="Long put"),"Buy to open","Sell to open"))</f>
        <v/>
      </c>
      <c r="F39" s="13"/>
      <c r="G39" s="7"/>
      <c r="H39" s="14"/>
      <c r="I39" s="13"/>
      <c r="J39" s="13"/>
      <c r="K39" s="13"/>
      <c r="L39" s="9"/>
      <c r="M39" s="7"/>
      <c r="N39" s="13"/>
      <c r="O39" s="15" t="str">
        <f aca="false">IF($C39="","",IF($E39="Sell to open",1,-1)*$I39*$E$2*$H39)</f>
        <v/>
      </c>
      <c r="P39" s="15" t="str">
        <f aca="false">IF($C39="","",IF($C39="Long call",$F39+$I39,IF($C39="Covered call",$J39-$I39,$F39-$I39)))</f>
        <v/>
      </c>
      <c r="Q39" s="16" t="str">
        <f aca="false">IF($C39="","",IF($AA39="Open",$B$2,IF($M39&lt;&gt;"",$M39,$G39))-$A39)</f>
        <v/>
      </c>
      <c r="R39" s="16" t="str">
        <f aca="false">IF($C39="","",IF($AA39="Open",MAX($G39-$B$2,0),""))</f>
        <v/>
      </c>
      <c r="S39" s="15" t="str">
        <f aca="false">IF(OR($C39="",$AA39="Open"),"",IF($L39="Closed",-IF($E39="Sell to open",1,-1)*$N39*$E$2*$H39,0))</f>
        <v/>
      </c>
      <c r="T39" s="15" t="str">
        <f aca="false">IF(OR($C39="",$AA39="Open"),"",$O39+$S39-$K39)</f>
        <v/>
      </c>
      <c r="U39" s="15" t="str">
        <f aca="false">IF(OR($C39="",$AA39="Open"),"",IF(AND($C39="Covered call",$L39="Assigned"),($F39-$J39)*$E$2*$H39,0))</f>
        <v/>
      </c>
      <c r="V39" s="15" t="str">
        <f aca="false">IF(OR($C39="",$AA39="Open"),"",$T39+$U39)</f>
        <v/>
      </c>
      <c r="W39" s="15" t="str">
        <f aca="false">IF($C39="","",IF(OR($C39="Long call",$C39="Long put"),$I39*$E$2*$H39,(IF($C39="Covered call",$J39,$F39)-$I39)*$E$2*$H39))</f>
        <v/>
      </c>
      <c r="X39" s="17" t="str">
        <f aca="false">IF(OR($C39="",$AA39="Open"),"",IF($W39&gt;0,$V39/$W39,""))</f>
        <v/>
      </c>
      <c r="Y39" s="17" t="str">
        <f aca="false">IF(OR($C39="",$AA39="Open"),"",IF($W39&gt;0,$X39*365/MAX($Q39,1),""))</f>
        <v/>
      </c>
      <c r="Z39" s="18" t="str">
        <f aca="false">IF(OR($C39="",$AA39="Open"),"",IF($M39&lt;&gt;"",$M39,$G39))</f>
        <v/>
      </c>
      <c r="AA39" s="12" t="str">
        <f aca="false">IF($C39="","",IF(OR($L39="Open",$L39=""),"Open","Realized"))</f>
        <v/>
      </c>
    </row>
    <row r="40" customFormat="false" ht="15" hidden="false" customHeight="false" outlineLevel="0" collapsed="false">
      <c r="A40" s="7"/>
      <c r="B40" s="9"/>
      <c r="C40" s="9"/>
      <c r="D40" s="12" t="str">
        <f aca="false">IF($C40="","",IF(OR($C40="Long call",$C40="Covered call"),"Call","Put"))</f>
        <v/>
      </c>
      <c r="E40" s="12" t="str">
        <f aca="false">IF($C40="","",IF(OR($C40="Long call",$C40="Long put"),"Buy to open","Sell to open"))</f>
        <v/>
      </c>
      <c r="F40" s="13"/>
      <c r="G40" s="7"/>
      <c r="H40" s="14"/>
      <c r="I40" s="13"/>
      <c r="J40" s="13"/>
      <c r="K40" s="13"/>
      <c r="L40" s="9"/>
      <c r="M40" s="7"/>
      <c r="N40" s="13"/>
      <c r="O40" s="15" t="str">
        <f aca="false">IF($C40="","",IF($E40="Sell to open",1,-1)*$I40*$E$2*$H40)</f>
        <v/>
      </c>
      <c r="P40" s="15" t="str">
        <f aca="false">IF($C40="","",IF($C40="Long call",$F40+$I40,IF($C40="Covered call",$J40-$I40,$F40-$I40)))</f>
        <v/>
      </c>
      <c r="Q40" s="16" t="str">
        <f aca="false">IF($C40="","",IF($AA40="Open",$B$2,IF($M40&lt;&gt;"",$M40,$G40))-$A40)</f>
        <v/>
      </c>
      <c r="R40" s="16" t="str">
        <f aca="false">IF($C40="","",IF($AA40="Open",MAX($G40-$B$2,0),""))</f>
        <v/>
      </c>
      <c r="S40" s="15" t="str">
        <f aca="false">IF(OR($C40="",$AA40="Open"),"",IF($L40="Closed",-IF($E40="Sell to open",1,-1)*$N40*$E$2*$H40,0))</f>
        <v/>
      </c>
      <c r="T40" s="15" t="str">
        <f aca="false">IF(OR($C40="",$AA40="Open"),"",$O40+$S40-$K40)</f>
        <v/>
      </c>
      <c r="U40" s="15" t="str">
        <f aca="false">IF(OR($C40="",$AA40="Open"),"",IF(AND($C40="Covered call",$L40="Assigned"),($F40-$J40)*$E$2*$H40,0))</f>
        <v/>
      </c>
      <c r="V40" s="15" t="str">
        <f aca="false">IF(OR($C40="",$AA40="Open"),"",$T40+$U40)</f>
        <v/>
      </c>
      <c r="W40" s="15" t="str">
        <f aca="false">IF($C40="","",IF(OR($C40="Long call",$C40="Long put"),$I40*$E$2*$H40,(IF($C40="Covered call",$J40,$F40)-$I40)*$E$2*$H40))</f>
        <v/>
      </c>
      <c r="X40" s="17" t="str">
        <f aca="false">IF(OR($C40="",$AA40="Open"),"",IF($W40&gt;0,$V40/$W40,""))</f>
        <v/>
      </c>
      <c r="Y40" s="17" t="str">
        <f aca="false">IF(OR($C40="",$AA40="Open"),"",IF($W40&gt;0,$X40*365/MAX($Q40,1),""))</f>
        <v/>
      </c>
      <c r="Z40" s="18" t="str">
        <f aca="false">IF(OR($C40="",$AA40="Open"),"",IF($M40&lt;&gt;"",$M40,$G40))</f>
        <v/>
      </c>
      <c r="AA40" s="12" t="str">
        <f aca="false">IF($C40="","",IF(OR($L40="Open",$L40=""),"Open","Realized"))</f>
        <v/>
      </c>
    </row>
    <row r="41" customFormat="false" ht="15" hidden="false" customHeight="false" outlineLevel="0" collapsed="false">
      <c r="A41" s="7"/>
      <c r="B41" s="9"/>
      <c r="C41" s="9"/>
      <c r="D41" s="12" t="str">
        <f aca="false">IF($C41="","",IF(OR($C41="Long call",$C41="Covered call"),"Call","Put"))</f>
        <v/>
      </c>
      <c r="E41" s="12" t="str">
        <f aca="false">IF($C41="","",IF(OR($C41="Long call",$C41="Long put"),"Buy to open","Sell to open"))</f>
        <v/>
      </c>
      <c r="F41" s="13"/>
      <c r="G41" s="7"/>
      <c r="H41" s="14"/>
      <c r="I41" s="13"/>
      <c r="J41" s="13"/>
      <c r="K41" s="13"/>
      <c r="L41" s="9"/>
      <c r="M41" s="7"/>
      <c r="N41" s="13"/>
      <c r="O41" s="15" t="str">
        <f aca="false">IF($C41="","",IF($E41="Sell to open",1,-1)*$I41*$E$2*$H41)</f>
        <v/>
      </c>
      <c r="P41" s="15" t="str">
        <f aca="false">IF($C41="","",IF($C41="Long call",$F41+$I41,IF($C41="Covered call",$J41-$I41,$F41-$I41)))</f>
        <v/>
      </c>
      <c r="Q41" s="16" t="str">
        <f aca="false">IF($C41="","",IF($AA41="Open",$B$2,IF($M41&lt;&gt;"",$M41,$G41))-$A41)</f>
        <v/>
      </c>
      <c r="R41" s="16" t="str">
        <f aca="false">IF($C41="","",IF($AA41="Open",MAX($G41-$B$2,0),""))</f>
        <v/>
      </c>
      <c r="S41" s="15" t="str">
        <f aca="false">IF(OR($C41="",$AA41="Open"),"",IF($L41="Closed",-IF($E41="Sell to open",1,-1)*$N41*$E$2*$H41,0))</f>
        <v/>
      </c>
      <c r="T41" s="15" t="str">
        <f aca="false">IF(OR($C41="",$AA41="Open"),"",$O41+$S41-$K41)</f>
        <v/>
      </c>
      <c r="U41" s="15" t="str">
        <f aca="false">IF(OR($C41="",$AA41="Open"),"",IF(AND($C41="Covered call",$L41="Assigned"),($F41-$J41)*$E$2*$H41,0))</f>
        <v/>
      </c>
      <c r="V41" s="15" t="str">
        <f aca="false">IF(OR($C41="",$AA41="Open"),"",$T41+$U41)</f>
        <v/>
      </c>
      <c r="W41" s="15" t="str">
        <f aca="false">IF($C41="","",IF(OR($C41="Long call",$C41="Long put"),$I41*$E$2*$H41,(IF($C41="Covered call",$J41,$F41)-$I41)*$E$2*$H41))</f>
        <v/>
      </c>
      <c r="X41" s="17" t="str">
        <f aca="false">IF(OR($C41="",$AA41="Open"),"",IF($W41&gt;0,$V41/$W41,""))</f>
        <v/>
      </c>
      <c r="Y41" s="17" t="str">
        <f aca="false">IF(OR($C41="",$AA41="Open"),"",IF($W41&gt;0,$X41*365/MAX($Q41,1),""))</f>
        <v/>
      </c>
      <c r="Z41" s="18" t="str">
        <f aca="false">IF(OR($C41="",$AA41="Open"),"",IF($M41&lt;&gt;"",$M41,$G41))</f>
        <v/>
      </c>
      <c r="AA41" s="12" t="str">
        <f aca="false">IF($C41="","",IF(OR($L41="Open",$L41=""),"Open","Realized"))</f>
        <v/>
      </c>
    </row>
    <row r="42" customFormat="false" ht="15" hidden="false" customHeight="false" outlineLevel="0" collapsed="false">
      <c r="A42" s="7"/>
      <c r="B42" s="9"/>
      <c r="C42" s="9"/>
      <c r="D42" s="12" t="str">
        <f aca="false">IF($C42="","",IF(OR($C42="Long call",$C42="Covered call"),"Call","Put"))</f>
        <v/>
      </c>
      <c r="E42" s="12" t="str">
        <f aca="false">IF($C42="","",IF(OR($C42="Long call",$C42="Long put"),"Buy to open","Sell to open"))</f>
        <v/>
      </c>
      <c r="F42" s="13"/>
      <c r="G42" s="7"/>
      <c r="H42" s="14"/>
      <c r="I42" s="13"/>
      <c r="J42" s="13"/>
      <c r="K42" s="13"/>
      <c r="L42" s="9"/>
      <c r="M42" s="7"/>
      <c r="N42" s="13"/>
      <c r="O42" s="15" t="str">
        <f aca="false">IF($C42="","",IF($E42="Sell to open",1,-1)*$I42*$E$2*$H42)</f>
        <v/>
      </c>
      <c r="P42" s="15" t="str">
        <f aca="false">IF($C42="","",IF($C42="Long call",$F42+$I42,IF($C42="Covered call",$J42-$I42,$F42-$I42)))</f>
        <v/>
      </c>
      <c r="Q42" s="16" t="str">
        <f aca="false">IF($C42="","",IF($AA42="Open",$B$2,IF($M42&lt;&gt;"",$M42,$G42))-$A42)</f>
        <v/>
      </c>
      <c r="R42" s="16" t="str">
        <f aca="false">IF($C42="","",IF($AA42="Open",MAX($G42-$B$2,0),""))</f>
        <v/>
      </c>
      <c r="S42" s="15" t="str">
        <f aca="false">IF(OR($C42="",$AA42="Open"),"",IF($L42="Closed",-IF($E42="Sell to open",1,-1)*$N42*$E$2*$H42,0))</f>
        <v/>
      </c>
      <c r="T42" s="15" t="str">
        <f aca="false">IF(OR($C42="",$AA42="Open"),"",$O42+$S42-$K42)</f>
        <v/>
      </c>
      <c r="U42" s="15" t="str">
        <f aca="false">IF(OR($C42="",$AA42="Open"),"",IF(AND($C42="Covered call",$L42="Assigned"),($F42-$J42)*$E$2*$H42,0))</f>
        <v/>
      </c>
      <c r="V42" s="15" t="str">
        <f aca="false">IF(OR($C42="",$AA42="Open"),"",$T42+$U42)</f>
        <v/>
      </c>
      <c r="W42" s="15" t="str">
        <f aca="false">IF($C42="","",IF(OR($C42="Long call",$C42="Long put"),$I42*$E$2*$H42,(IF($C42="Covered call",$J42,$F42)-$I42)*$E$2*$H42))</f>
        <v/>
      </c>
      <c r="X42" s="17" t="str">
        <f aca="false">IF(OR($C42="",$AA42="Open"),"",IF($W42&gt;0,$V42/$W42,""))</f>
        <v/>
      </c>
      <c r="Y42" s="17" t="str">
        <f aca="false">IF(OR($C42="",$AA42="Open"),"",IF($W42&gt;0,$X42*365/MAX($Q42,1),""))</f>
        <v/>
      </c>
      <c r="Z42" s="18" t="str">
        <f aca="false">IF(OR($C42="",$AA42="Open"),"",IF($M42&lt;&gt;"",$M42,$G42))</f>
        <v/>
      </c>
      <c r="AA42" s="12" t="str">
        <f aca="false">IF($C42="","",IF(OR($L42="Open",$L42=""),"Open","Realized"))</f>
        <v/>
      </c>
    </row>
    <row r="43" customFormat="false" ht="15" hidden="false" customHeight="false" outlineLevel="0" collapsed="false">
      <c r="A43" s="7"/>
      <c r="B43" s="9"/>
      <c r="C43" s="9"/>
      <c r="D43" s="12" t="str">
        <f aca="false">IF($C43="","",IF(OR($C43="Long call",$C43="Covered call"),"Call","Put"))</f>
        <v/>
      </c>
      <c r="E43" s="12" t="str">
        <f aca="false">IF($C43="","",IF(OR($C43="Long call",$C43="Long put"),"Buy to open","Sell to open"))</f>
        <v/>
      </c>
      <c r="F43" s="13"/>
      <c r="G43" s="7"/>
      <c r="H43" s="14"/>
      <c r="I43" s="13"/>
      <c r="J43" s="13"/>
      <c r="K43" s="13"/>
      <c r="L43" s="9"/>
      <c r="M43" s="7"/>
      <c r="N43" s="13"/>
      <c r="O43" s="15" t="str">
        <f aca="false">IF($C43="","",IF($E43="Sell to open",1,-1)*$I43*$E$2*$H43)</f>
        <v/>
      </c>
      <c r="P43" s="15" t="str">
        <f aca="false">IF($C43="","",IF($C43="Long call",$F43+$I43,IF($C43="Covered call",$J43-$I43,$F43-$I43)))</f>
        <v/>
      </c>
      <c r="Q43" s="16" t="str">
        <f aca="false">IF($C43="","",IF($AA43="Open",$B$2,IF($M43&lt;&gt;"",$M43,$G43))-$A43)</f>
        <v/>
      </c>
      <c r="R43" s="16" t="str">
        <f aca="false">IF($C43="","",IF($AA43="Open",MAX($G43-$B$2,0),""))</f>
        <v/>
      </c>
      <c r="S43" s="15" t="str">
        <f aca="false">IF(OR($C43="",$AA43="Open"),"",IF($L43="Closed",-IF($E43="Sell to open",1,-1)*$N43*$E$2*$H43,0))</f>
        <v/>
      </c>
      <c r="T43" s="15" t="str">
        <f aca="false">IF(OR($C43="",$AA43="Open"),"",$O43+$S43-$K43)</f>
        <v/>
      </c>
      <c r="U43" s="15" t="str">
        <f aca="false">IF(OR($C43="",$AA43="Open"),"",IF(AND($C43="Covered call",$L43="Assigned"),($F43-$J43)*$E$2*$H43,0))</f>
        <v/>
      </c>
      <c r="V43" s="15" t="str">
        <f aca="false">IF(OR($C43="",$AA43="Open"),"",$T43+$U43)</f>
        <v/>
      </c>
      <c r="W43" s="15" t="str">
        <f aca="false">IF($C43="","",IF(OR($C43="Long call",$C43="Long put"),$I43*$E$2*$H43,(IF($C43="Covered call",$J43,$F43)-$I43)*$E$2*$H43))</f>
        <v/>
      </c>
      <c r="X43" s="17" t="str">
        <f aca="false">IF(OR($C43="",$AA43="Open"),"",IF($W43&gt;0,$V43/$W43,""))</f>
        <v/>
      </c>
      <c r="Y43" s="17" t="str">
        <f aca="false">IF(OR($C43="",$AA43="Open"),"",IF($W43&gt;0,$X43*365/MAX($Q43,1),""))</f>
        <v/>
      </c>
      <c r="Z43" s="18" t="str">
        <f aca="false">IF(OR($C43="",$AA43="Open"),"",IF($M43&lt;&gt;"",$M43,$G43))</f>
        <v/>
      </c>
      <c r="AA43" s="12" t="str">
        <f aca="false">IF($C43="","",IF(OR($L43="Open",$L43=""),"Open","Realized"))</f>
        <v/>
      </c>
    </row>
    <row r="44" customFormat="false" ht="15" hidden="false" customHeight="false" outlineLevel="0" collapsed="false">
      <c r="A44" s="7"/>
      <c r="B44" s="9"/>
      <c r="C44" s="9"/>
      <c r="D44" s="12" t="str">
        <f aca="false">IF($C44="","",IF(OR($C44="Long call",$C44="Covered call"),"Call","Put"))</f>
        <v/>
      </c>
      <c r="E44" s="12" t="str">
        <f aca="false">IF($C44="","",IF(OR($C44="Long call",$C44="Long put"),"Buy to open","Sell to open"))</f>
        <v/>
      </c>
      <c r="F44" s="13"/>
      <c r="G44" s="7"/>
      <c r="H44" s="14"/>
      <c r="I44" s="13"/>
      <c r="J44" s="13"/>
      <c r="K44" s="13"/>
      <c r="L44" s="9"/>
      <c r="M44" s="7"/>
      <c r="N44" s="13"/>
      <c r="O44" s="15" t="str">
        <f aca="false">IF($C44="","",IF($E44="Sell to open",1,-1)*$I44*$E$2*$H44)</f>
        <v/>
      </c>
      <c r="P44" s="15" t="str">
        <f aca="false">IF($C44="","",IF($C44="Long call",$F44+$I44,IF($C44="Covered call",$J44-$I44,$F44-$I44)))</f>
        <v/>
      </c>
      <c r="Q44" s="16" t="str">
        <f aca="false">IF($C44="","",IF($AA44="Open",$B$2,IF($M44&lt;&gt;"",$M44,$G44))-$A44)</f>
        <v/>
      </c>
      <c r="R44" s="16" t="str">
        <f aca="false">IF($C44="","",IF($AA44="Open",MAX($G44-$B$2,0),""))</f>
        <v/>
      </c>
      <c r="S44" s="15" t="str">
        <f aca="false">IF(OR($C44="",$AA44="Open"),"",IF($L44="Closed",-IF($E44="Sell to open",1,-1)*$N44*$E$2*$H44,0))</f>
        <v/>
      </c>
      <c r="T44" s="15" t="str">
        <f aca="false">IF(OR($C44="",$AA44="Open"),"",$O44+$S44-$K44)</f>
        <v/>
      </c>
      <c r="U44" s="15" t="str">
        <f aca="false">IF(OR($C44="",$AA44="Open"),"",IF(AND($C44="Covered call",$L44="Assigned"),($F44-$J44)*$E$2*$H44,0))</f>
        <v/>
      </c>
      <c r="V44" s="15" t="str">
        <f aca="false">IF(OR($C44="",$AA44="Open"),"",$T44+$U44)</f>
        <v/>
      </c>
      <c r="W44" s="15" t="str">
        <f aca="false">IF($C44="","",IF(OR($C44="Long call",$C44="Long put"),$I44*$E$2*$H44,(IF($C44="Covered call",$J44,$F44)-$I44)*$E$2*$H44))</f>
        <v/>
      </c>
      <c r="X44" s="17" t="str">
        <f aca="false">IF(OR($C44="",$AA44="Open"),"",IF($W44&gt;0,$V44/$W44,""))</f>
        <v/>
      </c>
      <c r="Y44" s="17" t="str">
        <f aca="false">IF(OR($C44="",$AA44="Open"),"",IF($W44&gt;0,$X44*365/MAX($Q44,1),""))</f>
        <v/>
      </c>
      <c r="Z44" s="18" t="str">
        <f aca="false">IF(OR($C44="",$AA44="Open"),"",IF($M44&lt;&gt;"",$M44,$G44))</f>
        <v/>
      </c>
      <c r="AA44" s="12" t="str">
        <f aca="false">IF($C44="","",IF(OR($L44="Open",$L44=""),"Open","Realized"))</f>
        <v/>
      </c>
    </row>
    <row r="45" customFormat="false" ht="15" hidden="false" customHeight="false" outlineLevel="0" collapsed="false">
      <c r="A45" s="7"/>
      <c r="B45" s="9"/>
      <c r="C45" s="9"/>
      <c r="D45" s="12" t="str">
        <f aca="false">IF($C45="","",IF(OR($C45="Long call",$C45="Covered call"),"Call","Put"))</f>
        <v/>
      </c>
      <c r="E45" s="12" t="str">
        <f aca="false">IF($C45="","",IF(OR($C45="Long call",$C45="Long put"),"Buy to open","Sell to open"))</f>
        <v/>
      </c>
      <c r="F45" s="13"/>
      <c r="G45" s="7"/>
      <c r="H45" s="14"/>
      <c r="I45" s="13"/>
      <c r="J45" s="13"/>
      <c r="K45" s="13"/>
      <c r="L45" s="9"/>
      <c r="M45" s="7"/>
      <c r="N45" s="13"/>
      <c r="O45" s="15" t="str">
        <f aca="false">IF($C45="","",IF($E45="Sell to open",1,-1)*$I45*$E$2*$H45)</f>
        <v/>
      </c>
      <c r="P45" s="15" t="str">
        <f aca="false">IF($C45="","",IF($C45="Long call",$F45+$I45,IF($C45="Covered call",$J45-$I45,$F45-$I45)))</f>
        <v/>
      </c>
      <c r="Q45" s="16" t="str">
        <f aca="false">IF($C45="","",IF($AA45="Open",$B$2,IF($M45&lt;&gt;"",$M45,$G45))-$A45)</f>
        <v/>
      </c>
      <c r="R45" s="16" t="str">
        <f aca="false">IF($C45="","",IF($AA45="Open",MAX($G45-$B$2,0),""))</f>
        <v/>
      </c>
      <c r="S45" s="15" t="str">
        <f aca="false">IF(OR($C45="",$AA45="Open"),"",IF($L45="Closed",-IF($E45="Sell to open",1,-1)*$N45*$E$2*$H45,0))</f>
        <v/>
      </c>
      <c r="T45" s="15" t="str">
        <f aca="false">IF(OR($C45="",$AA45="Open"),"",$O45+$S45-$K45)</f>
        <v/>
      </c>
      <c r="U45" s="15" t="str">
        <f aca="false">IF(OR($C45="",$AA45="Open"),"",IF(AND($C45="Covered call",$L45="Assigned"),($F45-$J45)*$E$2*$H45,0))</f>
        <v/>
      </c>
      <c r="V45" s="15" t="str">
        <f aca="false">IF(OR($C45="",$AA45="Open"),"",$T45+$U45)</f>
        <v/>
      </c>
      <c r="W45" s="15" t="str">
        <f aca="false">IF($C45="","",IF(OR($C45="Long call",$C45="Long put"),$I45*$E$2*$H45,(IF($C45="Covered call",$J45,$F45)-$I45)*$E$2*$H45))</f>
        <v/>
      </c>
      <c r="X45" s="17" t="str">
        <f aca="false">IF(OR($C45="",$AA45="Open"),"",IF($W45&gt;0,$V45/$W45,""))</f>
        <v/>
      </c>
      <c r="Y45" s="17" t="str">
        <f aca="false">IF(OR($C45="",$AA45="Open"),"",IF($W45&gt;0,$X45*365/MAX($Q45,1),""))</f>
        <v/>
      </c>
      <c r="Z45" s="18" t="str">
        <f aca="false">IF(OR($C45="",$AA45="Open"),"",IF($M45&lt;&gt;"",$M45,$G45))</f>
        <v/>
      </c>
      <c r="AA45" s="12" t="str">
        <f aca="false">IF($C45="","",IF(OR($L45="Open",$L45=""),"Open","Realized"))</f>
        <v/>
      </c>
    </row>
    <row r="46" customFormat="false" ht="15" hidden="false" customHeight="false" outlineLevel="0" collapsed="false">
      <c r="A46" s="7"/>
      <c r="B46" s="9"/>
      <c r="C46" s="9"/>
      <c r="D46" s="12" t="str">
        <f aca="false">IF($C46="","",IF(OR($C46="Long call",$C46="Covered call"),"Call","Put"))</f>
        <v/>
      </c>
      <c r="E46" s="12" t="str">
        <f aca="false">IF($C46="","",IF(OR($C46="Long call",$C46="Long put"),"Buy to open","Sell to open"))</f>
        <v/>
      </c>
      <c r="F46" s="13"/>
      <c r="G46" s="7"/>
      <c r="H46" s="14"/>
      <c r="I46" s="13"/>
      <c r="J46" s="13"/>
      <c r="K46" s="13"/>
      <c r="L46" s="9"/>
      <c r="M46" s="7"/>
      <c r="N46" s="13"/>
      <c r="O46" s="15" t="str">
        <f aca="false">IF($C46="","",IF($E46="Sell to open",1,-1)*$I46*$E$2*$H46)</f>
        <v/>
      </c>
      <c r="P46" s="15" t="str">
        <f aca="false">IF($C46="","",IF($C46="Long call",$F46+$I46,IF($C46="Covered call",$J46-$I46,$F46-$I46)))</f>
        <v/>
      </c>
      <c r="Q46" s="16" t="str">
        <f aca="false">IF($C46="","",IF($AA46="Open",$B$2,IF($M46&lt;&gt;"",$M46,$G46))-$A46)</f>
        <v/>
      </c>
      <c r="R46" s="16" t="str">
        <f aca="false">IF($C46="","",IF($AA46="Open",MAX($G46-$B$2,0),""))</f>
        <v/>
      </c>
      <c r="S46" s="15" t="str">
        <f aca="false">IF(OR($C46="",$AA46="Open"),"",IF($L46="Closed",-IF($E46="Sell to open",1,-1)*$N46*$E$2*$H46,0))</f>
        <v/>
      </c>
      <c r="T46" s="15" t="str">
        <f aca="false">IF(OR($C46="",$AA46="Open"),"",$O46+$S46-$K46)</f>
        <v/>
      </c>
      <c r="U46" s="15" t="str">
        <f aca="false">IF(OR($C46="",$AA46="Open"),"",IF(AND($C46="Covered call",$L46="Assigned"),($F46-$J46)*$E$2*$H46,0))</f>
        <v/>
      </c>
      <c r="V46" s="15" t="str">
        <f aca="false">IF(OR($C46="",$AA46="Open"),"",$T46+$U46)</f>
        <v/>
      </c>
      <c r="W46" s="15" t="str">
        <f aca="false">IF($C46="","",IF(OR($C46="Long call",$C46="Long put"),$I46*$E$2*$H46,(IF($C46="Covered call",$J46,$F46)-$I46)*$E$2*$H46))</f>
        <v/>
      </c>
      <c r="X46" s="17" t="str">
        <f aca="false">IF(OR($C46="",$AA46="Open"),"",IF($W46&gt;0,$V46/$W46,""))</f>
        <v/>
      </c>
      <c r="Y46" s="17" t="str">
        <f aca="false">IF(OR($C46="",$AA46="Open"),"",IF($W46&gt;0,$X46*365/MAX($Q46,1),""))</f>
        <v/>
      </c>
      <c r="Z46" s="18" t="str">
        <f aca="false">IF(OR($C46="",$AA46="Open"),"",IF($M46&lt;&gt;"",$M46,$G46))</f>
        <v/>
      </c>
      <c r="AA46" s="12" t="str">
        <f aca="false">IF($C46="","",IF(OR($L46="Open",$L46=""),"Open","Realized"))</f>
        <v/>
      </c>
    </row>
    <row r="47" customFormat="false" ht="15" hidden="false" customHeight="false" outlineLevel="0" collapsed="false">
      <c r="A47" s="7"/>
      <c r="B47" s="9"/>
      <c r="C47" s="9"/>
      <c r="D47" s="12" t="str">
        <f aca="false">IF($C47="","",IF(OR($C47="Long call",$C47="Covered call"),"Call","Put"))</f>
        <v/>
      </c>
      <c r="E47" s="12" t="str">
        <f aca="false">IF($C47="","",IF(OR($C47="Long call",$C47="Long put"),"Buy to open","Sell to open"))</f>
        <v/>
      </c>
      <c r="F47" s="13"/>
      <c r="G47" s="7"/>
      <c r="H47" s="14"/>
      <c r="I47" s="13"/>
      <c r="J47" s="13"/>
      <c r="K47" s="13"/>
      <c r="L47" s="9"/>
      <c r="M47" s="7"/>
      <c r="N47" s="13"/>
      <c r="O47" s="15" t="str">
        <f aca="false">IF($C47="","",IF($E47="Sell to open",1,-1)*$I47*$E$2*$H47)</f>
        <v/>
      </c>
      <c r="P47" s="15" t="str">
        <f aca="false">IF($C47="","",IF($C47="Long call",$F47+$I47,IF($C47="Covered call",$J47-$I47,$F47-$I47)))</f>
        <v/>
      </c>
      <c r="Q47" s="16" t="str">
        <f aca="false">IF($C47="","",IF($AA47="Open",$B$2,IF($M47&lt;&gt;"",$M47,$G47))-$A47)</f>
        <v/>
      </c>
      <c r="R47" s="16" t="str">
        <f aca="false">IF($C47="","",IF($AA47="Open",MAX($G47-$B$2,0),""))</f>
        <v/>
      </c>
      <c r="S47" s="15" t="str">
        <f aca="false">IF(OR($C47="",$AA47="Open"),"",IF($L47="Closed",-IF($E47="Sell to open",1,-1)*$N47*$E$2*$H47,0))</f>
        <v/>
      </c>
      <c r="T47" s="15" t="str">
        <f aca="false">IF(OR($C47="",$AA47="Open"),"",$O47+$S47-$K47)</f>
        <v/>
      </c>
      <c r="U47" s="15" t="str">
        <f aca="false">IF(OR($C47="",$AA47="Open"),"",IF(AND($C47="Covered call",$L47="Assigned"),($F47-$J47)*$E$2*$H47,0))</f>
        <v/>
      </c>
      <c r="V47" s="15" t="str">
        <f aca="false">IF(OR($C47="",$AA47="Open"),"",$T47+$U47)</f>
        <v/>
      </c>
      <c r="W47" s="15" t="str">
        <f aca="false">IF($C47="","",IF(OR($C47="Long call",$C47="Long put"),$I47*$E$2*$H47,(IF($C47="Covered call",$J47,$F47)-$I47)*$E$2*$H47))</f>
        <v/>
      </c>
      <c r="X47" s="17" t="str">
        <f aca="false">IF(OR($C47="",$AA47="Open"),"",IF($W47&gt;0,$V47/$W47,""))</f>
        <v/>
      </c>
      <c r="Y47" s="17" t="str">
        <f aca="false">IF(OR($C47="",$AA47="Open"),"",IF($W47&gt;0,$X47*365/MAX($Q47,1),""))</f>
        <v/>
      </c>
      <c r="Z47" s="18" t="str">
        <f aca="false">IF(OR($C47="",$AA47="Open"),"",IF($M47&lt;&gt;"",$M47,$G47))</f>
        <v/>
      </c>
      <c r="AA47" s="12" t="str">
        <f aca="false">IF($C47="","",IF(OR($L47="Open",$L47=""),"Open","Realized"))</f>
        <v/>
      </c>
    </row>
    <row r="48" customFormat="false" ht="15" hidden="false" customHeight="false" outlineLevel="0" collapsed="false">
      <c r="A48" s="7"/>
      <c r="B48" s="9"/>
      <c r="C48" s="9"/>
      <c r="D48" s="12" t="str">
        <f aca="false">IF($C48="","",IF(OR($C48="Long call",$C48="Covered call"),"Call","Put"))</f>
        <v/>
      </c>
      <c r="E48" s="12" t="str">
        <f aca="false">IF($C48="","",IF(OR($C48="Long call",$C48="Long put"),"Buy to open","Sell to open"))</f>
        <v/>
      </c>
      <c r="F48" s="13"/>
      <c r="G48" s="7"/>
      <c r="H48" s="14"/>
      <c r="I48" s="13"/>
      <c r="J48" s="13"/>
      <c r="K48" s="13"/>
      <c r="L48" s="9"/>
      <c r="M48" s="7"/>
      <c r="N48" s="13"/>
      <c r="O48" s="15" t="str">
        <f aca="false">IF($C48="","",IF($E48="Sell to open",1,-1)*$I48*$E$2*$H48)</f>
        <v/>
      </c>
      <c r="P48" s="15" t="str">
        <f aca="false">IF($C48="","",IF($C48="Long call",$F48+$I48,IF($C48="Covered call",$J48-$I48,$F48-$I48)))</f>
        <v/>
      </c>
      <c r="Q48" s="16" t="str">
        <f aca="false">IF($C48="","",IF($AA48="Open",$B$2,IF($M48&lt;&gt;"",$M48,$G48))-$A48)</f>
        <v/>
      </c>
      <c r="R48" s="16" t="str">
        <f aca="false">IF($C48="","",IF($AA48="Open",MAX($G48-$B$2,0),""))</f>
        <v/>
      </c>
      <c r="S48" s="15" t="str">
        <f aca="false">IF(OR($C48="",$AA48="Open"),"",IF($L48="Closed",-IF($E48="Sell to open",1,-1)*$N48*$E$2*$H48,0))</f>
        <v/>
      </c>
      <c r="T48" s="15" t="str">
        <f aca="false">IF(OR($C48="",$AA48="Open"),"",$O48+$S48-$K48)</f>
        <v/>
      </c>
      <c r="U48" s="15" t="str">
        <f aca="false">IF(OR($C48="",$AA48="Open"),"",IF(AND($C48="Covered call",$L48="Assigned"),($F48-$J48)*$E$2*$H48,0))</f>
        <v/>
      </c>
      <c r="V48" s="15" t="str">
        <f aca="false">IF(OR($C48="",$AA48="Open"),"",$T48+$U48)</f>
        <v/>
      </c>
      <c r="W48" s="15" t="str">
        <f aca="false">IF($C48="","",IF(OR($C48="Long call",$C48="Long put"),$I48*$E$2*$H48,(IF($C48="Covered call",$J48,$F48)-$I48)*$E$2*$H48))</f>
        <v/>
      </c>
      <c r="X48" s="17" t="str">
        <f aca="false">IF(OR($C48="",$AA48="Open"),"",IF($W48&gt;0,$V48/$W48,""))</f>
        <v/>
      </c>
      <c r="Y48" s="17" t="str">
        <f aca="false">IF(OR($C48="",$AA48="Open"),"",IF($W48&gt;0,$X48*365/MAX($Q48,1),""))</f>
        <v/>
      </c>
      <c r="Z48" s="18" t="str">
        <f aca="false">IF(OR($C48="",$AA48="Open"),"",IF($M48&lt;&gt;"",$M48,$G48))</f>
        <v/>
      </c>
      <c r="AA48" s="12" t="str">
        <f aca="false">IF($C48="","",IF(OR($L48="Open",$L48=""),"Open","Realized"))</f>
        <v/>
      </c>
    </row>
    <row r="49" customFormat="false" ht="15" hidden="false" customHeight="false" outlineLevel="0" collapsed="false">
      <c r="A49" s="7"/>
      <c r="B49" s="9"/>
      <c r="C49" s="9"/>
      <c r="D49" s="12" t="str">
        <f aca="false">IF($C49="","",IF(OR($C49="Long call",$C49="Covered call"),"Call","Put"))</f>
        <v/>
      </c>
      <c r="E49" s="12" t="str">
        <f aca="false">IF($C49="","",IF(OR($C49="Long call",$C49="Long put"),"Buy to open","Sell to open"))</f>
        <v/>
      </c>
      <c r="F49" s="13"/>
      <c r="G49" s="7"/>
      <c r="H49" s="14"/>
      <c r="I49" s="13"/>
      <c r="J49" s="13"/>
      <c r="K49" s="13"/>
      <c r="L49" s="9"/>
      <c r="M49" s="7"/>
      <c r="N49" s="13"/>
      <c r="O49" s="15" t="str">
        <f aca="false">IF($C49="","",IF($E49="Sell to open",1,-1)*$I49*$E$2*$H49)</f>
        <v/>
      </c>
      <c r="P49" s="15" t="str">
        <f aca="false">IF($C49="","",IF($C49="Long call",$F49+$I49,IF($C49="Covered call",$J49-$I49,$F49-$I49)))</f>
        <v/>
      </c>
      <c r="Q49" s="16" t="str">
        <f aca="false">IF($C49="","",IF($AA49="Open",$B$2,IF($M49&lt;&gt;"",$M49,$G49))-$A49)</f>
        <v/>
      </c>
      <c r="R49" s="16" t="str">
        <f aca="false">IF($C49="","",IF($AA49="Open",MAX($G49-$B$2,0),""))</f>
        <v/>
      </c>
      <c r="S49" s="15" t="str">
        <f aca="false">IF(OR($C49="",$AA49="Open"),"",IF($L49="Closed",-IF($E49="Sell to open",1,-1)*$N49*$E$2*$H49,0))</f>
        <v/>
      </c>
      <c r="T49" s="15" t="str">
        <f aca="false">IF(OR($C49="",$AA49="Open"),"",$O49+$S49-$K49)</f>
        <v/>
      </c>
      <c r="U49" s="15" t="str">
        <f aca="false">IF(OR($C49="",$AA49="Open"),"",IF(AND($C49="Covered call",$L49="Assigned"),($F49-$J49)*$E$2*$H49,0))</f>
        <v/>
      </c>
      <c r="V49" s="15" t="str">
        <f aca="false">IF(OR($C49="",$AA49="Open"),"",$T49+$U49)</f>
        <v/>
      </c>
      <c r="W49" s="15" t="str">
        <f aca="false">IF($C49="","",IF(OR($C49="Long call",$C49="Long put"),$I49*$E$2*$H49,(IF($C49="Covered call",$J49,$F49)-$I49)*$E$2*$H49))</f>
        <v/>
      </c>
      <c r="X49" s="17" t="str">
        <f aca="false">IF(OR($C49="",$AA49="Open"),"",IF($W49&gt;0,$V49/$W49,""))</f>
        <v/>
      </c>
      <c r="Y49" s="17" t="str">
        <f aca="false">IF(OR($C49="",$AA49="Open"),"",IF($W49&gt;0,$X49*365/MAX($Q49,1),""))</f>
        <v/>
      </c>
      <c r="Z49" s="18" t="str">
        <f aca="false">IF(OR($C49="",$AA49="Open"),"",IF($M49&lt;&gt;"",$M49,$G49))</f>
        <v/>
      </c>
      <c r="AA49" s="12" t="str">
        <f aca="false">IF($C49="","",IF(OR($L49="Open",$L49=""),"Open","Realized"))</f>
        <v/>
      </c>
    </row>
    <row r="50" customFormat="false" ht="15" hidden="false" customHeight="false" outlineLevel="0" collapsed="false">
      <c r="A50" s="7"/>
      <c r="B50" s="9"/>
      <c r="C50" s="9"/>
      <c r="D50" s="12" t="str">
        <f aca="false">IF($C50="","",IF(OR($C50="Long call",$C50="Covered call"),"Call","Put"))</f>
        <v/>
      </c>
      <c r="E50" s="12" t="str">
        <f aca="false">IF($C50="","",IF(OR($C50="Long call",$C50="Long put"),"Buy to open","Sell to open"))</f>
        <v/>
      </c>
      <c r="F50" s="13"/>
      <c r="G50" s="7"/>
      <c r="H50" s="14"/>
      <c r="I50" s="13"/>
      <c r="J50" s="13"/>
      <c r="K50" s="13"/>
      <c r="L50" s="9"/>
      <c r="M50" s="7"/>
      <c r="N50" s="13"/>
      <c r="O50" s="15" t="str">
        <f aca="false">IF($C50="","",IF($E50="Sell to open",1,-1)*$I50*$E$2*$H50)</f>
        <v/>
      </c>
      <c r="P50" s="15" t="str">
        <f aca="false">IF($C50="","",IF($C50="Long call",$F50+$I50,IF($C50="Covered call",$J50-$I50,$F50-$I50)))</f>
        <v/>
      </c>
      <c r="Q50" s="16" t="str">
        <f aca="false">IF($C50="","",IF($AA50="Open",$B$2,IF($M50&lt;&gt;"",$M50,$G50))-$A50)</f>
        <v/>
      </c>
      <c r="R50" s="16" t="str">
        <f aca="false">IF($C50="","",IF($AA50="Open",MAX($G50-$B$2,0),""))</f>
        <v/>
      </c>
      <c r="S50" s="15" t="str">
        <f aca="false">IF(OR($C50="",$AA50="Open"),"",IF($L50="Closed",-IF($E50="Sell to open",1,-1)*$N50*$E$2*$H50,0))</f>
        <v/>
      </c>
      <c r="T50" s="15" t="str">
        <f aca="false">IF(OR($C50="",$AA50="Open"),"",$O50+$S50-$K50)</f>
        <v/>
      </c>
      <c r="U50" s="15" t="str">
        <f aca="false">IF(OR($C50="",$AA50="Open"),"",IF(AND($C50="Covered call",$L50="Assigned"),($F50-$J50)*$E$2*$H50,0))</f>
        <v/>
      </c>
      <c r="V50" s="15" t="str">
        <f aca="false">IF(OR($C50="",$AA50="Open"),"",$T50+$U50)</f>
        <v/>
      </c>
      <c r="W50" s="15" t="str">
        <f aca="false">IF($C50="","",IF(OR($C50="Long call",$C50="Long put"),$I50*$E$2*$H50,(IF($C50="Covered call",$J50,$F50)-$I50)*$E$2*$H50))</f>
        <v/>
      </c>
      <c r="X50" s="17" t="str">
        <f aca="false">IF(OR($C50="",$AA50="Open"),"",IF($W50&gt;0,$V50/$W50,""))</f>
        <v/>
      </c>
      <c r="Y50" s="17" t="str">
        <f aca="false">IF(OR($C50="",$AA50="Open"),"",IF($W50&gt;0,$X50*365/MAX($Q50,1),""))</f>
        <v/>
      </c>
      <c r="Z50" s="18" t="str">
        <f aca="false">IF(OR($C50="",$AA50="Open"),"",IF($M50&lt;&gt;"",$M50,$G50))</f>
        <v/>
      </c>
      <c r="AA50" s="12" t="str">
        <f aca="false">IF($C50="","",IF(OR($L50="Open",$L50=""),"Open","Realized"))</f>
        <v/>
      </c>
    </row>
    <row r="51" customFormat="false" ht="15" hidden="false" customHeight="false" outlineLevel="0" collapsed="false">
      <c r="A51" s="7"/>
      <c r="B51" s="9"/>
      <c r="C51" s="9"/>
      <c r="D51" s="12" t="str">
        <f aca="false">IF($C51="","",IF(OR($C51="Long call",$C51="Covered call"),"Call","Put"))</f>
        <v/>
      </c>
      <c r="E51" s="12" t="str">
        <f aca="false">IF($C51="","",IF(OR($C51="Long call",$C51="Long put"),"Buy to open","Sell to open"))</f>
        <v/>
      </c>
      <c r="F51" s="13"/>
      <c r="G51" s="7"/>
      <c r="H51" s="14"/>
      <c r="I51" s="13"/>
      <c r="J51" s="13"/>
      <c r="K51" s="13"/>
      <c r="L51" s="9"/>
      <c r="M51" s="7"/>
      <c r="N51" s="13"/>
      <c r="O51" s="15" t="str">
        <f aca="false">IF($C51="","",IF($E51="Sell to open",1,-1)*$I51*$E$2*$H51)</f>
        <v/>
      </c>
      <c r="P51" s="15" t="str">
        <f aca="false">IF($C51="","",IF($C51="Long call",$F51+$I51,IF($C51="Covered call",$J51-$I51,$F51-$I51)))</f>
        <v/>
      </c>
      <c r="Q51" s="16" t="str">
        <f aca="false">IF($C51="","",IF($AA51="Open",$B$2,IF($M51&lt;&gt;"",$M51,$G51))-$A51)</f>
        <v/>
      </c>
      <c r="R51" s="16" t="str">
        <f aca="false">IF($C51="","",IF($AA51="Open",MAX($G51-$B$2,0),""))</f>
        <v/>
      </c>
      <c r="S51" s="15" t="str">
        <f aca="false">IF(OR($C51="",$AA51="Open"),"",IF($L51="Closed",-IF($E51="Sell to open",1,-1)*$N51*$E$2*$H51,0))</f>
        <v/>
      </c>
      <c r="T51" s="15" t="str">
        <f aca="false">IF(OR($C51="",$AA51="Open"),"",$O51+$S51-$K51)</f>
        <v/>
      </c>
      <c r="U51" s="15" t="str">
        <f aca="false">IF(OR($C51="",$AA51="Open"),"",IF(AND($C51="Covered call",$L51="Assigned"),($F51-$J51)*$E$2*$H51,0))</f>
        <v/>
      </c>
      <c r="V51" s="15" t="str">
        <f aca="false">IF(OR($C51="",$AA51="Open"),"",$T51+$U51)</f>
        <v/>
      </c>
      <c r="W51" s="15" t="str">
        <f aca="false">IF($C51="","",IF(OR($C51="Long call",$C51="Long put"),$I51*$E$2*$H51,(IF($C51="Covered call",$J51,$F51)-$I51)*$E$2*$H51))</f>
        <v/>
      </c>
      <c r="X51" s="17" t="str">
        <f aca="false">IF(OR($C51="",$AA51="Open"),"",IF($W51&gt;0,$V51/$W51,""))</f>
        <v/>
      </c>
      <c r="Y51" s="17" t="str">
        <f aca="false">IF(OR($C51="",$AA51="Open"),"",IF($W51&gt;0,$X51*365/MAX($Q51,1),""))</f>
        <v/>
      </c>
      <c r="Z51" s="18" t="str">
        <f aca="false">IF(OR($C51="",$AA51="Open"),"",IF($M51&lt;&gt;"",$M51,$G51))</f>
        <v/>
      </c>
      <c r="AA51" s="12" t="str">
        <f aca="false">IF($C51="","",IF(OR($L51="Open",$L51=""),"Open","Realized"))</f>
        <v/>
      </c>
    </row>
    <row r="52" customFormat="false" ht="15" hidden="false" customHeight="false" outlineLevel="0" collapsed="false">
      <c r="A52" s="7"/>
      <c r="B52" s="9"/>
      <c r="C52" s="9"/>
      <c r="D52" s="12" t="str">
        <f aca="false">IF($C52="","",IF(OR($C52="Long call",$C52="Covered call"),"Call","Put"))</f>
        <v/>
      </c>
      <c r="E52" s="12" t="str">
        <f aca="false">IF($C52="","",IF(OR($C52="Long call",$C52="Long put"),"Buy to open","Sell to open"))</f>
        <v/>
      </c>
      <c r="F52" s="13"/>
      <c r="G52" s="7"/>
      <c r="H52" s="14"/>
      <c r="I52" s="13"/>
      <c r="J52" s="13"/>
      <c r="K52" s="13"/>
      <c r="L52" s="9"/>
      <c r="M52" s="7"/>
      <c r="N52" s="13"/>
      <c r="O52" s="15" t="str">
        <f aca="false">IF($C52="","",IF($E52="Sell to open",1,-1)*$I52*$E$2*$H52)</f>
        <v/>
      </c>
      <c r="P52" s="15" t="str">
        <f aca="false">IF($C52="","",IF($C52="Long call",$F52+$I52,IF($C52="Covered call",$J52-$I52,$F52-$I52)))</f>
        <v/>
      </c>
      <c r="Q52" s="16" t="str">
        <f aca="false">IF($C52="","",IF($AA52="Open",$B$2,IF($M52&lt;&gt;"",$M52,$G52))-$A52)</f>
        <v/>
      </c>
      <c r="R52" s="16" t="str">
        <f aca="false">IF($C52="","",IF($AA52="Open",MAX($G52-$B$2,0),""))</f>
        <v/>
      </c>
      <c r="S52" s="15" t="str">
        <f aca="false">IF(OR($C52="",$AA52="Open"),"",IF($L52="Closed",-IF($E52="Sell to open",1,-1)*$N52*$E$2*$H52,0))</f>
        <v/>
      </c>
      <c r="T52" s="15" t="str">
        <f aca="false">IF(OR($C52="",$AA52="Open"),"",$O52+$S52-$K52)</f>
        <v/>
      </c>
      <c r="U52" s="15" t="str">
        <f aca="false">IF(OR($C52="",$AA52="Open"),"",IF(AND($C52="Covered call",$L52="Assigned"),($F52-$J52)*$E$2*$H52,0))</f>
        <v/>
      </c>
      <c r="V52" s="15" t="str">
        <f aca="false">IF(OR($C52="",$AA52="Open"),"",$T52+$U52)</f>
        <v/>
      </c>
      <c r="W52" s="15" t="str">
        <f aca="false">IF($C52="","",IF(OR($C52="Long call",$C52="Long put"),$I52*$E$2*$H52,(IF($C52="Covered call",$J52,$F52)-$I52)*$E$2*$H52))</f>
        <v/>
      </c>
      <c r="X52" s="17" t="str">
        <f aca="false">IF(OR($C52="",$AA52="Open"),"",IF($W52&gt;0,$V52/$W52,""))</f>
        <v/>
      </c>
      <c r="Y52" s="17" t="str">
        <f aca="false">IF(OR($C52="",$AA52="Open"),"",IF($W52&gt;0,$X52*365/MAX($Q52,1),""))</f>
        <v/>
      </c>
      <c r="Z52" s="18" t="str">
        <f aca="false">IF(OR($C52="",$AA52="Open"),"",IF($M52&lt;&gt;"",$M52,$G52))</f>
        <v/>
      </c>
      <c r="AA52" s="12" t="str">
        <f aca="false">IF($C52="","",IF(OR($L52="Open",$L52=""),"Open","Realized"))</f>
        <v/>
      </c>
    </row>
    <row r="53" customFormat="false" ht="15" hidden="false" customHeight="false" outlineLevel="0" collapsed="false">
      <c r="A53" s="7"/>
      <c r="B53" s="9"/>
      <c r="C53" s="9"/>
      <c r="D53" s="12" t="str">
        <f aca="false">IF($C53="","",IF(OR($C53="Long call",$C53="Covered call"),"Call","Put"))</f>
        <v/>
      </c>
      <c r="E53" s="12" t="str">
        <f aca="false">IF($C53="","",IF(OR($C53="Long call",$C53="Long put"),"Buy to open","Sell to open"))</f>
        <v/>
      </c>
      <c r="F53" s="13"/>
      <c r="G53" s="7"/>
      <c r="H53" s="14"/>
      <c r="I53" s="13"/>
      <c r="J53" s="13"/>
      <c r="K53" s="13"/>
      <c r="L53" s="9"/>
      <c r="M53" s="7"/>
      <c r="N53" s="13"/>
      <c r="O53" s="15" t="str">
        <f aca="false">IF($C53="","",IF($E53="Sell to open",1,-1)*$I53*$E$2*$H53)</f>
        <v/>
      </c>
      <c r="P53" s="15" t="str">
        <f aca="false">IF($C53="","",IF($C53="Long call",$F53+$I53,IF($C53="Covered call",$J53-$I53,$F53-$I53)))</f>
        <v/>
      </c>
      <c r="Q53" s="16" t="str">
        <f aca="false">IF($C53="","",IF($AA53="Open",$B$2,IF($M53&lt;&gt;"",$M53,$G53))-$A53)</f>
        <v/>
      </c>
      <c r="R53" s="16" t="str">
        <f aca="false">IF($C53="","",IF($AA53="Open",MAX($G53-$B$2,0),""))</f>
        <v/>
      </c>
      <c r="S53" s="15" t="str">
        <f aca="false">IF(OR($C53="",$AA53="Open"),"",IF($L53="Closed",-IF($E53="Sell to open",1,-1)*$N53*$E$2*$H53,0))</f>
        <v/>
      </c>
      <c r="T53" s="15" t="str">
        <f aca="false">IF(OR($C53="",$AA53="Open"),"",$O53+$S53-$K53)</f>
        <v/>
      </c>
      <c r="U53" s="15" t="str">
        <f aca="false">IF(OR($C53="",$AA53="Open"),"",IF(AND($C53="Covered call",$L53="Assigned"),($F53-$J53)*$E$2*$H53,0))</f>
        <v/>
      </c>
      <c r="V53" s="15" t="str">
        <f aca="false">IF(OR($C53="",$AA53="Open"),"",$T53+$U53)</f>
        <v/>
      </c>
      <c r="W53" s="15" t="str">
        <f aca="false">IF($C53="","",IF(OR($C53="Long call",$C53="Long put"),$I53*$E$2*$H53,(IF($C53="Covered call",$J53,$F53)-$I53)*$E$2*$H53))</f>
        <v/>
      </c>
      <c r="X53" s="17" t="str">
        <f aca="false">IF(OR($C53="",$AA53="Open"),"",IF($W53&gt;0,$V53/$W53,""))</f>
        <v/>
      </c>
      <c r="Y53" s="17" t="str">
        <f aca="false">IF(OR($C53="",$AA53="Open"),"",IF($W53&gt;0,$X53*365/MAX($Q53,1),""))</f>
        <v/>
      </c>
      <c r="Z53" s="18" t="str">
        <f aca="false">IF(OR($C53="",$AA53="Open"),"",IF($M53&lt;&gt;"",$M53,$G53))</f>
        <v/>
      </c>
      <c r="AA53" s="12" t="str">
        <f aca="false">IF($C53="","",IF(OR($L53="Open",$L53=""),"Open","Realized"))</f>
        <v/>
      </c>
    </row>
    <row r="54" customFormat="false" ht="15" hidden="false" customHeight="false" outlineLevel="0" collapsed="false">
      <c r="A54" s="7"/>
      <c r="B54" s="9"/>
      <c r="C54" s="9"/>
      <c r="D54" s="12" t="str">
        <f aca="false">IF($C54="","",IF(OR($C54="Long call",$C54="Covered call"),"Call","Put"))</f>
        <v/>
      </c>
      <c r="E54" s="12" t="str">
        <f aca="false">IF($C54="","",IF(OR($C54="Long call",$C54="Long put"),"Buy to open","Sell to open"))</f>
        <v/>
      </c>
      <c r="F54" s="13"/>
      <c r="G54" s="7"/>
      <c r="H54" s="14"/>
      <c r="I54" s="13"/>
      <c r="J54" s="13"/>
      <c r="K54" s="13"/>
      <c r="L54" s="9"/>
      <c r="M54" s="7"/>
      <c r="N54" s="13"/>
      <c r="O54" s="15" t="str">
        <f aca="false">IF($C54="","",IF($E54="Sell to open",1,-1)*$I54*$E$2*$H54)</f>
        <v/>
      </c>
      <c r="P54" s="15" t="str">
        <f aca="false">IF($C54="","",IF($C54="Long call",$F54+$I54,IF($C54="Covered call",$J54-$I54,$F54-$I54)))</f>
        <v/>
      </c>
      <c r="Q54" s="16" t="str">
        <f aca="false">IF($C54="","",IF($AA54="Open",$B$2,IF($M54&lt;&gt;"",$M54,$G54))-$A54)</f>
        <v/>
      </c>
      <c r="R54" s="16" t="str">
        <f aca="false">IF($C54="","",IF($AA54="Open",MAX($G54-$B$2,0),""))</f>
        <v/>
      </c>
      <c r="S54" s="15" t="str">
        <f aca="false">IF(OR($C54="",$AA54="Open"),"",IF($L54="Closed",-IF($E54="Sell to open",1,-1)*$N54*$E$2*$H54,0))</f>
        <v/>
      </c>
      <c r="T54" s="15" t="str">
        <f aca="false">IF(OR($C54="",$AA54="Open"),"",$O54+$S54-$K54)</f>
        <v/>
      </c>
      <c r="U54" s="15" t="str">
        <f aca="false">IF(OR($C54="",$AA54="Open"),"",IF(AND($C54="Covered call",$L54="Assigned"),($F54-$J54)*$E$2*$H54,0))</f>
        <v/>
      </c>
      <c r="V54" s="15" t="str">
        <f aca="false">IF(OR($C54="",$AA54="Open"),"",$T54+$U54)</f>
        <v/>
      </c>
      <c r="W54" s="15" t="str">
        <f aca="false">IF($C54="","",IF(OR($C54="Long call",$C54="Long put"),$I54*$E$2*$H54,(IF($C54="Covered call",$J54,$F54)-$I54)*$E$2*$H54))</f>
        <v/>
      </c>
      <c r="X54" s="17" t="str">
        <f aca="false">IF(OR($C54="",$AA54="Open"),"",IF($W54&gt;0,$V54/$W54,""))</f>
        <v/>
      </c>
      <c r="Y54" s="17" t="str">
        <f aca="false">IF(OR($C54="",$AA54="Open"),"",IF($W54&gt;0,$X54*365/MAX($Q54,1),""))</f>
        <v/>
      </c>
      <c r="Z54" s="18" t="str">
        <f aca="false">IF(OR($C54="",$AA54="Open"),"",IF($M54&lt;&gt;"",$M54,$G54))</f>
        <v/>
      </c>
      <c r="AA54" s="12" t="str">
        <f aca="false">IF($C54="","",IF(OR($L54="Open",$L54=""),"Open","Realized"))</f>
        <v/>
      </c>
    </row>
    <row r="55" customFormat="false" ht="15" hidden="false" customHeight="false" outlineLevel="0" collapsed="false">
      <c r="A55" s="7"/>
      <c r="B55" s="9"/>
      <c r="C55" s="9"/>
      <c r="D55" s="12" t="str">
        <f aca="false">IF($C55="","",IF(OR($C55="Long call",$C55="Covered call"),"Call","Put"))</f>
        <v/>
      </c>
      <c r="E55" s="12" t="str">
        <f aca="false">IF($C55="","",IF(OR($C55="Long call",$C55="Long put"),"Buy to open","Sell to open"))</f>
        <v/>
      </c>
      <c r="F55" s="13"/>
      <c r="G55" s="7"/>
      <c r="H55" s="14"/>
      <c r="I55" s="13"/>
      <c r="J55" s="13"/>
      <c r="K55" s="13"/>
      <c r="L55" s="9"/>
      <c r="M55" s="7"/>
      <c r="N55" s="13"/>
      <c r="O55" s="15" t="str">
        <f aca="false">IF($C55="","",IF($E55="Sell to open",1,-1)*$I55*$E$2*$H55)</f>
        <v/>
      </c>
      <c r="P55" s="15" t="str">
        <f aca="false">IF($C55="","",IF($C55="Long call",$F55+$I55,IF($C55="Covered call",$J55-$I55,$F55-$I55)))</f>
        <v/>
      </c>
      <c r="Q55" s="16" t="str">
        <f aca="false">IF($C55="","",IF($AA55="Open",$B$2,IF($M55&lt;&gt;"",$M55,$G55))-$A55)</f>
        <v/>
      </c>
      <c r="R55" s="16" t="str">
        <f aca="false">IF($C55="","",IF($AA55="Open",MAX($G55-$B$2,0),""))</f>
        <v/>
      </c>
      <c r="S55" s="15" t="str">
        <f aca="false">IF(OR($C55="",$AA55="Open"),"",IF($L55="Closed",-IF($E55="Sell to open",1,-1)*$N55*$E$2*$H55,0))</f>
        <v/>
      </c>
      <c r="T55" s="15" t="str">
        <f aca="false">IF(OR($C55="",$AA55="Open"),"",$O55+$S55-$K55)</f>
        <v/>
      </c>
      <c r="U55" s="15" t="str">
        <f aca="false">IF(OR($C55="",$AA55="Open"),"",IF(AND($C55="Covered call",$L55="Assigned"),($F55-$J55)*$E$2*$H55,0))</f>
        <v/>
      </c>
      <c r="V55" s="15" t="str">
        <f aca="false">IF(OR($C55="",$AA55="Open"),"",$T55+$U55)</f>
        <v/>
      </c>
      <c r="W55" s="15" t="str">
        <f aca="false">IF($C55="","",IF(OR($C55="Long call",$C55="Long put"),$I55*$E$2*$H55,(IF($C55="Covered call",$J55,$F55)-$I55)*$E$2*$H55))</f>
        <v/>
      </c>
      <c r="X55" s="17" t="str">
        <f aca="false">IF(OR($C55="",$AA55="Open"),"",IF($W55&gt;0,$V55/$W55,""))</f>
        <v/>
      </c>
      <c r="Y55" s="17" t="str">
        <f aca="false">IF(OR($C55="",$AA55="Open"),"",IF($W55&gt;0,$X55*365/MAX($Q55,1),""))</f>
        <v/>
      </c>
      <c r="Z55" s="18" t="str">
        <f aca="false">IF(OR($C55="",$AA55="Open"),"",IF($M55&lt;&gt;"",$M55,$G55))</f>
        <v/>
      </c>
      <c r="AA55" s="12" t="str">
        <f aca="false">IF($C55="","",IF(OR($L55="Open",$L55=""),"Open","Realized"))</f>
        <v/>
      </c>
    </row>
    <row r="56" customFormat="false" ht="15" hidden="false" customHeight="false" outlineLevel="0" collapsed="false">
      <c r="A56" s="7"/>
      <c r="B56" s="9"/>
      <c r="C56" s="9"/>
      <c r="D56" s="12" t="str">
        <f aca="false">IF($C56="","",IF(OR($C56="Long call",$C56="Covered call"),"Call","Put"))</f>
        <v/>
      </c>
      <c r="E56" s="12" t="str">
        <f aca="false">IF($C56="","",IF(OR($C56="Long call",$C56="Long put"),"Buy to open","Sell to open"))</f>
        <v/>
      </c>
      <c r="F56" s="13"/>
      <c r="G56" s="7"/>
      <c r="H56" s="14"/>
      <c r="I56" s="13"/>
      <c r="J56" s="13"/>
      <c r="K56" s="13"/>
      <c r="L56" s="9"/>
      <c r="M56" s="7"/>
      <c r="N56" s="13"/>
      <c r="O56" s="15" t="str">
        <f aca="false">IF($C56="","",IF($E56="Sell to open",1,-1)*$I56*$E$2*$H56)</f>
        <v/>
      </c>
      <c r="P56" s="15" t="str">
        <f aca="false">IF($C56="","",IF($C56="Long call",$F56+$I56,IF($C56="Covered call",$J56-$I56,$F56-$I56)))</f>
        <v/>
      </c>
      <c r="Q56" s="16" t="str">
        <f aca="false">IF($C56="","",IF($AA56="Open",$B$2,IF($M56&lt;&gt;"",$M56,$G56))-$A56)</f>
        <v/>
      </c>
      <c r="R56" s="16" t="str">
        <f aca="false">IF($C56="","",IF($AA56="Open",MAX($G56-$B$2,0),""))</f>
        <v/>
      </c>
      <c r="S56" s="15" t="str">
        <f aca="false">IF(OR($C56="",$AA56="Open"),"",IF($L56="Closed",-IF($E56="Sell to open",1,-1)*$N56*$E$2*$H56,0))</f>
        <v/>
      </c>
      <c r="T56" s="15" t="str">
        <f aca="false">IF(OR($C56="",$AA56="Open"),"",$O56+$S56-$K56)</f>
        <v/>
      </c>
      <c r="U56" s="15" t="str">
        <f aca="false">IF(OR($C56="",$AA56="Open"),"",IF(AND($C56="Covered call",$L56="Assigned"),($F56-$J56)*$E$2*$H56,0))</f>
        <v/>
      </c>
      <c r="V56" s="15" t="str">
        <f aca="false">IF(OR($C56="",$AA56="Open"),"",$T56+$U56)</f>
        <v/>
      </c>
      <c r="W56" s="15" t="str">
        <f aca="false">IF($C56="","",IF(OR($C56="Long call",$C56="Long put"),$I56*$E$2*$H56,(IF($C56="Covered call",$J56,$F56)-$I56)*$E$2*$H56))</f>
        <v/>
      </c>
      <c r="X56" s="17" t="str">
        <f aca="false">IF(OR($C56="",$AA56="Open"),"",IF($W56&gt;0,$V56/$W56,""))</f>
        <v/>
      </c>
      <c r="Y56" s="17" t="str">
        <f aca="false">IF(OR($C56="",$AA56="Open"),"",IF($W56&gt;0,$X56*365/MAX($Q56,1),""))</f>
        <v/>
      </c>
      <c r="Z56" s="18" t="str">
        <f aca="false">IF(OR($C56="",$AA56="Open"),"",IF($M56&lt;&gt;"",$M56,$G56))</f>
        <v/>
      </c>
      <c r="AA56" s="12" t="str">
        <f aca="false">IF($C56="","",IF(OR($L56="Open",$L56=""),"Open","Realized"))</f>
        <v/>
      </c>
    </row>
    <row r="57" customFormat="false" ht="15" hidden="false" customHeight="false" outlineLevel="0" collapsed="false">
      <c r="A57" s="7"/>
      <c r="B57" s="9"/>
      <c r="C57" s="9"/>
      <c r="D57" s="12" t="str">
        <f aca="false">IF($C57="","",IF(OR($C57="Long call",$C57="Covered call"),"Call","Put"))</f>
        <v/>
      </c>
      <c r="E57" s="12" t="str">
        <f aca="false">IF($C57="","",IF(OR($C57="Long call",$C57="Long put"),"Buy to open","Sell to open"))</f>
        <v/>
      </c>
      <c r="F57" s="13"/>
      <c r="G57" s="7"/>
      <c r="H57" s="14"/>
      <c r="I57" s="13"/>
      <c r="J57" s="13"/>
      <c r="K57" s="13"/>
      <c r="L57" s="9"/>
      <c r="M57" s="7"/>
      <c r="N57" s="13"/>
      <c r="O57" s="15" t="str">
        <f aca="false">IF($C57="","",IF($E57="Sell to open",1,-1)*$I57*$E$2*$H57)</f>
        <v/>
      </c>
      <c r="P57" s="15" t="str">
        <f aca="false">IF($C57="","",IF($C57="Long call",$F57+$I57,IF($C57="Covered call",$J57-$I57,$F57-$I57)))</f>
        <v/>
      </c>
      <c r="Q57" s="16" t="str">
        <f aca="false">IF($C57="","",IF($AA57="Open",$B$2,IF($M57&lt;&gt;"",$M57,$G57))-$A57)</f>
        <v/>
      </c>
      <c r="R57" s="16" t="str">
        <f aca="false">IF($C57="","",IF($AA57="Open",MAX($G57-$B$2,0),""))</f>
        <v/>
      </c>
      <c r="S57" s="15" t="str">
        <f aca="false">IF(OR($C57="",$AA57="Open"),"",IF($L57="Closed",-IF($E57="Sell to open",1,-1)*$N57*$E$2*$H57,0))</f>
        <v/>
      </c>
      <c r="T57" s="15" t="str">
        <f aca="false">IF(OR($C57="",$AA57="Open"),"",$O57+$S57-$K57)</f>
        <v/>
      </c>
      <c r="U57" s="15" t="str">
        <f aca="false">IF(OR($C57="",$AA57="Open"),"",IF(AND($C57="Covered call",$L57="Assigned"),($F57-$J57)*$E$2*$H57,0))</f>
        <v/>
      </c>
      <c r="V57" s="15" t="str">
        <f aca="false">IF(OR($C57="",$AA57="Open"),"",$T57+$U57)</f>
        <v/>
      </c>
      <c r="W57" s="15" t="str">
        <f aca="false">IF($C57="","",IF(OR($C57="Long call",$C57="Long put"),$I57*$E$2*$H57,(IF($C57="Covered call",$J57,$F57)-$I57)*$E$2*$H57))</f>
        <v/>
      </c>
      <c r="X57" s="17" t="str">
        <f aca="false">IF(OR($C57="",$AA57="Open"),"",IF($W57&gt;0,$V57/$W57,""))</f>
        <v/>
      </c>
      <c r="Y57" s="17" t="str">
        <f aca="false">IF(OR($C57="",$AA57="Open"),"",IF($W57&gt;0,$X57*365/MAX($Q57,1),""))</f>
        <v/>
      </c>
      <c r="Z57" s="18" t="str">
        <f aca="false">IF(OR($C57="",$AA57="Open"),"",IF($M57&lt;&gt;"",$M57,$G57))</f>
        <v/>
      </c>
      <c r="AA57" s="12" t="str">
        <f aca="false">IF($C57="","",IF(OR($L57="Open",$L57=""),"Open","Realized"))</f>
        <v/>
      </c>
    </row>
    <row r="58" customFormat="false" ht="15" hidden="false" customHeight="false" outlineLevel="0" collapsed="false">
      <c r="A58" s="7"/>
      <c r="B58" s="9"/>
      <c r="C58" s="9"/>
      <c r="D58" s="12" t="str">
        <f aca="false">IF($C58="","",IF(OR($C58="Long call",$C58="Covered call"),"Call","Put"))</f>
        <v/>
      </c>
      <c r="E58" s="12" t="str">
        <f aca="false">IF($C58="","",IF(OR($C58="Long call",$C58="Long put"),"Buy to open","Sell to open"))</f>
        <v/>
      </c>
      <c r="F58" s="13"/>
      <c r="G58" s="7"/>
      <c r="H58" s="14"/>
      <c r="I58" s="13"/>
      <c r="J58" s="13"/>
      <c r="K58" s="13"/>
      <c r="L58" s="9"/>
      <c r="M58" s="7"/>
      <c r="N58" s="13"/>
      <c r="O58" s="15" t="str">
        <f aca="false">IF($C58="","",IF($E58="Sell to open",1,-1)*$I58*$E$2*$H58)</f>
        <v/>
      </c>
      <c r="P58" s="15" t="str">
        <f aca="false">IF($C58="","",IF($C58="Long call",$F58+$I58,IF($C58="Covered call",$J58-$I58,$F58-$I58)))</f>
        <v/>
      </c>
      <c r="Q58" s="16" t="str">
        <f aca="false">IF($C58="","",IF($AA58="Open",$B$2,IF($M58&lt;&gt;"",$M58,$G58))-$A58)</f>
        <v/>
      </c>
      <c r="R58" s="16" t="str">
        <f aca="false">IF($C58="","",IF($AA58="Open",MAX($G58-$B$2,0),""))</f>
        <v/>
      </c>
      <c r="S58" s="15" t="str">
        <f aca="false">IF(OR($C58="",$AA58="Open"),"",IF($L58="Closed",-IF($E58="Sell to open",1,-1)*$N58*$E$2*$H58,0))</f>
        <v/>
      </c>
      <c r="T58" s="15" t="str">
        <f aca="false">IF(OR($C58="",$AA58="Open"),"",$O58+$S58-$K58)</f>
        <v/>
      </c>
      <c r="U58" s="15" t="str">
        <f aca="false">IF(OR($C58="",$AA58="Open"),"",IF(AND($C58="Covered call",$L58="Assigned"),($F58-$J58)*$E$2*$H58,0))</f>
        <v/>
      </c>
      <c r="V58" s="15" t="str">
        <f aca="false">IF(OR($C58="",$AA58="Open"),"",$T58+$U58)</f>
        <v/>
      </c>
      <c r="W58" s="15" t="str">
        <f aca="false">IF($C58="","",IF(OR($C58="Long call",$C58="Long put"),$I58*$E$2*$H58,(IF($C58="Covered call",$J58,$F58)-$I58)*$E$2*$H58))</f>
        <v/>
      </c>
      <c r="X58" s="17" t="str">
        <f aca="false">IF(OR($C58="",$AA58="Open"),"",IF($W58&gt;0,$V58/$W58,""))</f>
        <v/>
      </c>
      <c r="Y58" s="17" t="str">
        <f aca="false">IF(OR($C58="",$AA58="Open"),"",IF($W58&gt;0,$X58*365/MAX($Q58,1),""))</f>
        <v/>
      </c>
      <c r="Z58" s="18" t="str">
        <f aca="false">IF(OR($C58="",$AA58="Open"),"",IF($M58&lt;&gt;"",$M58,$G58))</f>
        <v/>
      </c>
      <c r="AA58" s="12" t="str">
        <f aca="false">IF($C58="","",IF(OR($L58="Open",$L58=""),"Open","Realized"))</f>
        <v/>
      </c>
    </row>
    <row r="59" customFormat="false" ht="15" hidden="false" customHeight="false" outlineLevel="0" collapsed="false">
      <c r="A59" s="7"/>
      <c r="B59" s="9"/>
      <c r="C59" s="9"/>
      <c r="D59" s="12" t="str">
        <f aca="false">IF($C59="","",IF(OR($C59="Long call",$C59="Covered call"),"Call","Put"))</f>
        <v/>
      </c>
      <c r="E59" s="12" t="str">
        <f aca="false">IF($C59="","",IF(OR($C59="Long call",$C59="Long put"),"Buy to open","Sell to open"))</f>
        <v/>
      </c>
      <c r="F59" s="13"/>
      <c r="G59" s="7"/>
      <c r="H59" s="14"/>
      <c r="I59" s="13"/>
      <c r="J59" s="13"/>
      <c r="K59" s="13"/>
      <c r="L59" s="9"/>
      <c r="M59" s="7"/>
      <c r="N59" s="13"/>
      <c r="O59" s="15" t="str">
        <f aca="false">IF($C59="","",IF($E59="Sell to open",1,-1)*$I59*$E$2*$H59)</f>
        <v/>
      </c>
      <c r="P59" s="15" t="str">
        <f aca="false">IF($C59="","",IF($C59="Long call",$F59+$I59,IF($C59="Covered call",$J59-$I59,$F59-$I59)))</f>
        <v/>
      </c>
      <c r="Q59" s="16" t="str">
        <f aca="false">IF($C59="","",IF($AA59="Open",$B$2,IF($M59&lt;&gt;"",$M59,$G59))-$A59)</f>
        <v/>
      </c>
      <c r="R59" s="16" t="str">
        <f aca="false">IF($C59="","",IF($AA59="Open",MAX($G59-$B$2,0),""))</f>
        <v/>
      </c>
      <c r="S59" s="15" t="str">
        <f aca="false">IF(OR($C59="",$AA59="Open"),"",IF($L59="Closed",-IF($E59="Sell to open",1,-1)*$N59*$E$2*$H59,0))</f>
        <v/>
      </c>
      <c r="T59" s="15" t="str">
        <f aca="false">IF(OR($C59="",$AA59="Open"),"",$O59+$S59-$K59)</f>
        <v/>
      </c>
      <c r="U59" s="15" t="str">
        <f aca="false">IF(OR($C59="",$AA59="Open"),"",IF(AND($C59="Covered call",$L59="Assigned"),($F59-$J59)*$E$2*$H59,0))</f>
        <v/>
      </c>
      <c r="V59" s="15" t="str">
        <f aca="false">IF(OR($C59="",$AA59="Open"),"",$T59+$U59)</f>
        <v/>
      </c>
      <c r="W59" s="15" t="str">
        <f aca="false">IF($C59="","",IF(OR($C59="Long call",$C59="Long put"),$I59*$E$2*$H59,(IF($C59="Covered call",$J59,$F59)-$I59)*$E$2*$H59))</f>
        <v/>
      </c>
      <c r="X59" s="17" t="str">
        <f aca="false">IF(OR($C59="",$AA59="Open"),"",IF($W59&gt;0,$V59/$W59,""))</f>
        <v/>
      </c>
      <c r="Y59" s="17" t="str">
        <f aca="false">IF(OR($C59="",$AA59="Open"),"",IF($W59&gt;0,$X59*365/MAX($Q59,1),""))</f>
        <v/>
      </c>
      <c r="Z59" s="18" t="str">
        <f aca="false">IF(OR($C59="",$AA59="Open"),"",IF($M59&lt;&gt;"",$M59,$G59))</f>
        <v/>
      </c>
      <c r="AA59" s="12" t="str">
        <f aca="false">IF($C59="","",IF(OR($L59="Open",$L59=""),"Open","Realized"))</f>
        <v/>
      </c>
    </row>
    <row r="60" customFormat="false" ht="15" hidden="false" customHeight="false" outlineLevel="0" collapsed="false">
      <c r="A60" s="7"/>
      <c r="B60" s="9"/>
      <c r="C60" s="9"/>
      <c r="D60" s="12" t="str">
        <f aca="false">IF($C60="","",IF(OR($C60="Long call",$C60="Covered call"),"Call","Put"))</f>
        <v/>
      </c>
      <c r="E60" s="12" t="str">
        <f aca="false">IF($C60="","",IF(OR($C60="Long call",$C60="Long put"),"Buy to open","Sell to open"))</f>
        <v/>
      </c>
      <c r="F60" s="13"/>
      <c r="G60" s="7"/>
      <c r="H60" s="14"/>
      <c r="I60" s="13"/>
      <c r="J60" s="13"/>
      <c r="K60" s="13"/>
      <c r="L60" s="9"/>
      <c r="M60" s="7"/>
      <c r="N60" s="13"/>
      <c r="O60" s="15" t="str">
        <f aca="false">IF($C60="","",IF($E60="Sell to open",1,-1)*$I60*$E$2*$H60)</f>
        <v/>
      </c>
      <c r="P60" s="15" t="str">
        <f aca="false">IF($C60="","",IF($C60="Long call",$F60+$I60,IF($C60="Covered call",$J60-$I60,$F60-$I60)))</f>
        <v/>
      </c>
      <c r="Q60" s="16" t="str">
        <f aca="false">IF($C60="","",IF($AA60="Open",$B$2,IF($M60&lt;&gt;"",$M60,$G60))-$A60)</f>
        <v/>
      </c>
      <c r="R60" s="16" t="str">
        <f aca="false">IF($C60="","",IF($AA60="Open",MAX($G60-$B$2,0),""))</f>
        <v/>
      </c>
      <c r="S60" s="15" t="str">
        <f aca="false">IF(OR($C60="",$AA60="Open"),"",IF($L60="Closed",-IF($E60="Sell to open",1,-1)*$N60*$E$2*$H60,0))</f>
        <v/>
      </c>
      <c r="T60" s="15" t="str">
        <f aca="false">IF(OR($C60="",$AA60="Open"),"",$O60+$S60-$K60)</f>
        <v/>
      </c>
      <c r="U60" s="15" t="str">
        <f aca="false">IF(OR($C60="",$AA60="Open"),"",IF(AND($C60="Covered call",$L60="Assigned"),($F60-$J60)*$E$2*$H60,0))</f>
        <v/>
      </c>
      <c r="V60" s="15" t="str">
        <f aca="false">IF(OR($C60="",$AA60="Open"),"",$T60+$U60)</f>
        <v/>
      </c>
      <c r="W60" s="15" t="str">
        <f aca="false">IF($C60="","",IF(OR($C60="Long call",$C60="Long put"),$I60*$E$2*$H60,(IF($C60="Covered call",$J60,$F60)-$I60)*$E$2*$H60))</f>
        <v/>
      </c>
      <c r="X60" s="17" t="str">
        <f aca="false">IF(OR($C60="",$AA60="Open"),"",IF($W60&gt;0,$V60/$W60,""))</f>
        <v/>
      </c>
      <c r="Y60" s="17" t="str">
        <f aca="false">IF(OR($C60="",$AA60="Open"),"",IF($W60&gt;0,$X60*365/MAX($Q60,1),""))</f>
        <v/>
      </c>
      <c r="Z60" s="18" t="str">
        <f aca="false">IF(OR($C60="",$AA60="Open"),"",IF($M60&lt;&gt;"",$M60,$G60))</f>
        <v/>
      </c>
      <c r="AA60" s="12" t="str">
        <f aca="false">IF($C60="","",IF(OR($L60="Open",$L60=""),"Open","Realized"))</f>
        <v/>
      </c>
    </row>
    <row r="61" customFormat="false" ht="15" hidden="false" customHeight="false" outlineLevel="0" collapsed="false">
      <c r="A61" s="7"/>
      <c r="B61" s="9"/>
      <c r="C61" s="9"/>
      <c r="D61" s="12" t="str">
        <f aca="false">IF($C61="","",IF(OR($C61="Long call",$C61="Covered call"),"Call","Put"))</f>
        <v/>
      </c>
      <c r="E61" s="12" t="str">
        <f aca="false">IF($C61="","",IF(OR($C61="Long call",$C61="Long put"),"Buy to open","Sell to open"))</f>
        <v/>
      </c>
      <c r="F61" s="13"/>
      <c r="G61" s="7"/>
      <c r="H61" s="14"/>
      <c r="I61" s="13"/>
      <c r="J61" s="13"/>
      <c r="K61" s="13"/>
      <c r="L61" s="9"/>
      <c r="M61" s="7"/>
      <c r="N61" s="13"/>
      <c r="O61" s="15" t="str">
        <f aca="false">IF($C61="","",IF($E61="Sell to open",1,-1)*$I61*$E$2*$H61)</f>
        <v/>
      </c>
      <c r="P61" s="15" t="str">
        <f aca="false">IF($C61="","",IF($C61="Long call",$F61+$I61,IF($C61="Covered call",$J61-$I61,$F61-$I61)))</f>
        <v/>
      </c>
      <c r="Q61" s="16" t="str">
        <f aca="false">IF($C61="","",IF($AA61="Open",$B$2,IF($M61&lt;&gt;"",$M61,$G61))-$A61)</f>
        <v/>
      </c>
      <c r="R61" s="16" t="str">
        <f aca="false">IF($C61="","",IF($AA61="Open",MAX($G61-$B$2,0),""))</f>
        <v/>
      </c>
      <c r="S61" s="15" t="str">
        <f aca="false">IF(OR($C61="",$AA61="Open"),"",IF($L61="Closed",-IF($E61="Sell to open",1,-1)*$N61*$E$2*$H61,0))</f>
        <v/>
      </c>
      <c r="T61" s="15" t="str">
        <f aca="false">IF(OR($C61="",$AA61="Open"),"",$O61+$S61-$K61)</f>
        <v/>
      </c>
      <c r="U61" s="15" t="str">
        <f aca="false">IF(OR($C61="",$AA61="Open"),"",IF(AND($C61="Covered call",$L61="Assigned"),($F61-$J61)*$E$2*$H61,0))</f>
        <v/>
      </c>
      <c r="V61" s="15" t="str">
        <f aca="false">IF(OR($C61="",$AA61="Open"),"",$T61+$U61)</f>
        <v/>
      </c>
      <c r="W61" s="15" t="str">
        <f aca="false">IF($C61="","",IF(OR($C61="Long call",$C61="Long put"),$I61*$E$2*$H61,(IF($C61="Covered call",$J61,$F61)-$I61)*$E$2*$H61))</f>
        <v/>
      </c>
      <c r="X61" s="17" t="str">
        <f aca="false">IF(OR($C61="",$AA61="Open"),"",IF($W61&gt;0,$V61/$W61,""))</f>
        <v/>
      </c>
      <c r="Y61" s="17" t="str">
        <f aca="false">IF(OR($C61="",$AA61="Open"),"",IF($W61&gt;0,$X61*365/MAX($Q61,1),""))</f>
        <v/>
      </c>
      <c r="Z61" s="18" t="str">
        <f aca="false">IF(OR($C61="",$AA61="Open"),"",IF($M61&lt;&gt;"",$M61,$G61))</f>
        <v/>
      </c>
      <c r="AA61" s="12" t="str">
        <f aca="false">IF($C61="","",IF(OR($L61="Open",$L61=""),"Open","Realized"))</f>
        <v/>
      </c>
    </row>
    <row r="62" customFormat="false" ht="15" hidden="false" customHeight="false" outlineLevel="0" collapsed="false">
      <c r="A62" s="7"/>
      <c r="B62" s="9"/>
      <c r="C62" s="9"/>
      <c r="D62" s="12" t="str">
        <f aca="false">IF($C62="","",IF(OR($C62="Long call",$C62="Covered call"),"Call","Put"))</f>
        <v/>
      </c>
      <c r="E62" s="12" t="str">
        <f aca="false">IF($C62="","",IF(OR($C62="Long call",$C62="Long put"),"Buy to open","Sell to open"))</f>
        <v/>
      </c>
      <c r="F62" s="13"/>
      <c r="G62" s="7"/>
      <c r="H62" s="14"/>
      <c r="I62" s="13"/>
      <c r="J62" s="13"/>
      <c r="K62" s="13"/>
      <c r="L62" s="9"/>
      <c r="M62" s="7"/>
      <c r="N62" s="13"/>
      <c r="O62" s="15" t="str">
        <f aca="false">IF($C62="","",IF($E62="Sell to open",1,-1)*$I62*$E$2*$H62)</f>
        <v/>
      </c>
      <c r="P62" s="15" t="str">
        <f aca="false">IF($C62="","",IF($C62="Long call",$F62+$I62,IF($C62="Covered call",$J62-$I62,$F62-$I62)))</f>
        <v/>
      </c>
      <c r="Q62" s="16" t="str">
        <f aca="false">IF($C62="","",IF($AA62="Open",$B$2,IF($M62&lt;&gt;"",$M62,$G62))-$A62)</f>
        <v/>
      </c>
      <c r="R62" s="16" t="str">
        <f aca="false">IF($C62="","",IF($AA62="Open",MAX($G62-$B$2,0),""))</f>
        <v/>
      </c>
      <c r="S62" s="15" t="str">
        <f aca="false">IF(OR($C62="",$AA62="Open"),"",IF($L62="Closed",-IF($E62="Sell to open",1,-1)*$N62*$E$2*$H62,0))</f>
        <v/>
      </c>
      <c r="T62" s="15" t="str">
        <f aca="false">IF(OR($C62="",$AA62="Open"),"",$O62+$S62-$K62)</f>
        <v/>
      </c>
      <c r="U62" s="15" t="str">
        <f aca="false">IF(OR($C62="",$AA62="Open"),"",IF(AND($C62="Covered call",$L62="Assigned"),($F62-$J62)*$E$2*$H62,0))</f>
        <v/>
      </c>
      <c r="V62" s="15" t="str">
        <f aca="false">IF(OR($C62="",$AA62="Open"),"",$T62+$U62)</f>
        <v/>
      </c>
      <c r="W62" s="15" t="str">
        <f aca="false">IF($C62="","",IF(OR($C62="Long call",$C62="Long put"),$I62*$E$2*$H62,(IF($C62="Covered call",$J62,$F62)-$I62)*$E$2*$H62))</f>
        <v/>
      </c>
      <c r="X62" s="17" t="str">
        <f aca="false">IF(OR($C62="",$AA62="Open"),"",IF($W62&gt;0,$V62/$W62,""))</f>
        <v/>
      </c>
      <c r="Y62" s="17" t="str">
        <f aca="false">IF(OR($C62="",$AA62="Open"),"",IF($W62&gt;0,$X62*365/MAX($Q62,1),""))</f>
        <v/>
      </c>
      <c r="Z62" s="18" t="str">
        <f aca="false">IF(OR($C62="",$AA62="Open"),"",IF($M62&lt;&gt;"",$M62,$G62))</f>
        <v/>
      </c>
      <c r="AA62" s="12" t="str">
        <f aca="false">IF($C62="","",IF(OR($L62="Open",$L62=""),"Open","Realized"))</f>
        <v/>
      </c>
    </row>
    <row r="63" customFormat="false" ht="15" hidden="false" customHeight="false" outlineLevel="0" collapsed="false">
      <c r="A63" s="7"/>
      <c r="B63" s="9"/>
      <c r="C63" s="9"/>
      <c r="D63" s="12" t="str">
        <f aca="false">IF($C63="","",IF(OR($C63="Long call",$C63="Covered call"),"Call","Put"))</f>
        <v/>
      </c>
      <c r="E63" s="12" t="str">
        <f aca="false">IF($C63="","",IF(OR($C63="Long call",$C63="Long put"),"Buy to open","Sell to open"))</f>
        <v/>
      </c>
      <c r="F63" s="13"/>
      <c r="G63" s="7"/>
      <c r="H63" s="14"/>
      <c r="I63" s="13"/>
      <c r="J63" s="13"/>
      <c r="K63" s="13"/>
      <c r="L63" s="9"/>
      <c r="M63" s="7"/>
      <c r="N63" s="13"/>
      <c r="O63" s="15" t="str">
        <f aca="false">IF($C63="","",IF($E63="Sell to open",1,-1)*$I63*$E$2*$H63)</f>
        <v/>
      </c>
      <c r="P63" s="15" t="str">
        <f aca="false">IF($C63="","",IF($C63="Long call",$F63+$I63,IF($C63="Covered call",$J63-$I63,$F63-$I63)))</f>
        <v/>
      </c>
      <c r="Q63" s="16" t="str">
        <f aca="false">IF($C63="","",IF($AA63="Open",$B$2,IF($M63&lt;&gt;"",$M63,$G63))-$A63)</f>
        <v/>
      </c>
      <c r="R63" s="16" t="str">
        <f aca="false">IF($C63="","",IF($AA63="Open",MAX($G63-$B$2,0),""))</f>
        <v/>
      </c>
      <c r="S63" s="15" t="str">
        <f aca="false">IF(OR($C63="",$AA63="Open"),"",IF($L63="Closed",-IF($E63="Sell to open",1,-1)*$N63*$E$2*$H63,0))</f>
        <v/>
      </c>
      <c r="T63" s="15" t="str">
        <f aca="false">IF(OR($C63="",$AA63="Open"),"",$O63+$S63-$K63)</f>
        <v/>
      </c>
      <c r="U63" s="15" t="str">
        <f aca="false">IF(OR($C63="",$AA63="Open"),"",IF(AND($C63="Covered call",$L63="Assigned"),($F63-$J63)*$E$2*$H63,0))</f>
        <v/>
      </c>
      <c r="V63" s="15" t="str">
        <f aca="false">IF(OR($C63="",$AA63="Open"),"",$T63+$U63)</f>
        <v/>
      </c>
      <c r="W63" s="15" t="str">
        <f aca="false">IF($C63="","",IF(OR($C63="Long call",$C63="Long put"),$I63*$E$2*$H63,(IF($C63="Covered call",$J63,$F63)-$I63)*$E$2*$H63))</f>
        <v/>
      </c>
      <c r="X63" s="17" t="str">
        <f aca="false">IF(OR($C63="",$AA63="Open"),"",IF($W63&gt;0,$V63/$W63,""))</f>
        <v/>
      </c>
      <c r="Y63" s="17" t="str">
        <f aca="false">IF(OR($C63="",$AA63="Open"),"",IF($W63&gt;0,$X63*365/MAX($Q63,1),""))</f>
        <v/>
      </c>
      <c r="Z63" s="18" t="str">
        <f aca="false">IF(OR($C63="",$AA63="Open"),"",IF($M63&lt;&gt;"",$M63,$G63))</f>
        <v/>
      </c>
      <c r="AA63" s="12" t="str">
        <f aca="false">IF($C63="","",IF(OR($L63="Open",$L63=""),"Open","Realized"))</f>
        <v/>
      </c>
    </row>
    <row r="64" customFormat="false" ht="15" hidden="false" customHeight="false" outlineLevel="0" collapsed="false">
      <c r="A64" s="7"/>
      <c r="B64" s="9"/>
      <c r="C64" s="9"/>
      <c r="D64" s="12" t="str">
        <f aca="false">IF($C64="","",IF(OR($C64="Long call",$C64="Covered call"),"Call","Put"))</f>
        <v/>
      </c>
      <c r="E64" s="12" t="str">
        <f aca="false">IF($C64="","",IF(OR($C64="Long call",$C64="Long put"),"Buy to open","Sell to open"))</f>
        <v/>
      </c>
      <c r="F64" s="13"/>
      <c r="G64" s="7"/>
      <c r="H64" s="14"/>
      <c r="I64" s="13"/>
      <c r="J64" s="13"/>
      <c r="K64" s="13"/>
      <c r="L64" s="9"/>
      <c r="M64" s="7"/>
      <c r="N64" s="13"/>
      <c r="O64" s="15" t="str">
        <f aca="false">IF($C64="","",IF($E64="Sell to open",1,-1)*$I64*$E$2*$H64)</f>
        <v/>
      </c>
      <c r="P64" s="15" t="str">
        <f aca="false">IF($C64="","",IF($C64="Long call",$F64+$I64,IF($C64="Covered call",$J64-$I64,$F64-$I64)))</f>
        <v/>
      </c>
      <c r="Q64" s="16" t="str">
        <f aca="false">IF($C64="","",IF($AA64="Open",$B$2,IF($M64&lt;&gt;"",$M64,$G64))-$A64)</f>
        <v/>
      </c>
      <c r="R64" s="16" t="str">
        <f aca="false">IF($C64="","",IF($AA64="Open",MAX($G64-$B$2,0),""))</f>
        <v/>
      </c>
      <c r="S64" s="15" t="str">
        <f aca="false">IF(OR($C64="",$AA64="Open"),"",IF($L64="Closed",-IF($E64="Sell to open",1,-1)*$N64*$E$2*$H64,0))</f>
        <v/>
      </c>
      <c r="T64" s="15" t="str">
        <f aca="false">IF(OR($C64="",$AA64="Open"),"",$O64+$S64-$K64)</f>
        <v/>
      </c>
      <c r="U64" s="15" t="str">
        <f aca="false">IF(OR($C64="",$AA64="Open"),"",IF(AND($C64="Covered call",$L64="Assigned"),($F64-$J64)*$E$2*$H64,0))</f>
        <v/>
      </c>
      <c r="V64" s="15" t="str">
        <f aca="false">IF(OR($C64="",$AA64="Open"),"",$T64+$U64)</f>
        <v/>
      </c>
      <c r="W64" s="15" t="str">
        <f aca="false">IF($C64="","",IF(OR($C64="Long call",$C64="Long put"),$I64*$E$2*$H64,(IF($C64="Covered call",$J64,$F64)-$I64)*$E$2*$H64))</f>
        <v/>
      </c>
      <c r="X64" s="17" t="str">
        <f aca="false">IF(OR($C64="",$AA64="Open"),"",IF($W64&gt;0,$V64/$W64,""))</f>
        <v/>
      </c>
      <c r="Y64" s="17" t="str">
        <f aca="false">IF(OR($C64="",$AA64="Open"),"",IF($W64&gt;0,$X64*365/MAX($Q64,1),""))</f>
        <v/>
      </c>
      <c r="Z64" s="18" t="str">
        <f aca="false">IF(OR($C64="",$AA64="Open"),"",IF($M64&lt;&gt;"",$M64,$G64))</f>
        <v/>
      </c>
      <c r="AA64" s="12" t="str">
        <f aca="false">IF($C64="","",IF(OR($L64="Open",$L64=""),"Open","Realized"))</f>
        <v/>
      </c>
    </row>
    <row r="65" customFormat="false" ht="15" hidden="false" customHeight="false" outlineLevel="0" collapsed="false">
      <c r="A65" s="7"/>
      <c r="B65" s="9"/>
      <c r="C65" s="9"/>
      <c r="D65" s="12" t="str">
        <f aca="false">IF($C65="","",IF(OR($C65="Long call",$C65="Covered call"),"Call","Put"))</f>
        <v/>
      </c>
      <c r="E65" s="12" t="str">
        <f aca="false">IF($C65="","",IF(OR($C65="Long call",$C65="Long put"),"Buy to open","Sell to open"))</f>
        <v/>
      </c>
      <c r="F65" s="13"/>
      <c r="G65" s="7"/>
      <c r="H65" s="14"/>
      <c r="I65" s="13"/>
      <c r="J65" s="13"/>
      <c r="K65" s="13"/>
      <c r="L65" s="9"/>
      <c r="M65" s="7"/>
      <c r="N65" s="13"/>
      <c r="O65" s="15" t="str">
        <f aca="false">IF($C65="","",IF($E65="Sell to open",1,-1)*$I65*$E$2*$H65)</f>
        <v/>
      </c>
      <c r="P65" s="15" t="str">
        <f aca="false">IF($C65="","",IF($C65="Long call",$F65+$I65,IF($C65="Covered call",$J65-$I65,$F65-$I65)))</f>
        <v/>
      </c>
      <c r="Q65" s="16" t="str">
        <f aca="false">IF($C65="","",IF($AA65="Open",$B$2,IF($M65&lt;&gt;"",$M65,$G65))-$A65)</f>
        <v/>
      </c>
      <c r="R65" s="16" t="str">
        <f aca="false">IF($C65="","",IF($AA65="Open",MAX($G65-$B$2,0),""))</f>
        <v/>
      </c>
      <c r="S65" s="15" t="str">
        <f aca="false">IF(OR($C65="",$AA65="Open"),"",IF($L65="Closed",-IF($E65="Sell to open",1,-1)*$N65*$E$2*$H65,0))</f>
        <v/>
      </c>
      <c r="T65" s="15" t="str">
        <f aca="false">IF(OR($C65="",$AA65="Open"),"",$O65+$S65-$K65)</f>
        <v/>
      </c>
      <c r="U65" s="15" t="str">
        <f aca="false">IF(OR($C65="",$AA65="Open"),"",IF(AND($C65="Covered call",$L65="Assigned"),($F65-$J65)*$E$2*$H65,0))</f>
        <v/>
      </c>
      <c r="V65" s="15" t="str">
        <f aca="false">IF(OR($C65="",$AA65="Open"),"",$T65+$U65)</f>
        <v/>
      </c>
      <c r="W65" s="15" t="str">
        <f aca="false">IF($C65="","",IF(OR($C65="Long call",$C65="Long put"),$I65*$E$2*$H65,(IF($C65="Covered call",$J65,$F65)-$I65)*$E$2*$H65))</f>
        <v/>
      </c>
      <c r="X65" s="17" t="str">
        <f aca="false">IF(OR($C65="",$AA65="Open"),"",IF($W65&gt;0,$V65/$W65,""))</f>
        <v/>
      </c>
      <c r="Y65" s="17" t="str">
        <f aca="false">IF(OR($C65="",$AA65="Open"),"",IF($W65&gt;0,$X65*365/MAX($Q65,1),""))</f>
        <v/>
      </c>
      <c r="Z65" s="18" t="str">
        <f aca="false">IF(OR($C65="",$AA65="Open"),"",IF($M65&lt;&gt;"",$M65,$G65))</f>
        <v/>
      </c>
      <c r="AA65" s="12" t="str">
        <f aca="false">IF($C65="","",IF(OR($L65="Open",$L65=""),"Open","Realized"))</f>
        <v/>
      </c>
    </row>
    <row r="66" customFormat="false" ht="15" hidden="false" customHeight="false" outlineLevel="0" collapsed="false">
      <c r="A66" s="7"/>
      <c r="B66" s="9"/>
      <c r="C66" s="9"/>
      <c r="D66" s="12" t="str">
        <f aca="false">IF($C66="","",IF(OR($C66="Long call",$C66="Covered call"),"Call","Put"))</f>
        <v/>
      </c>
      <c r="E66" s="12" t="str">
        <f aca="false">IF($C66="","",IF(OR($C66="Long call",$C66="Long put"),"Buy to open","Sell to open"))</f>
        <v/>
      </c>
      <c r="F66" s="13"/>
      <c r="G66" s="7"/>
      <c r="H66" s="14"/>
      <c r="I66" s="13"/>
      <c r="J66" s="13"/>
      <c r="K66" s="13"/>
      <c r="L66" s="9"/>
      <c r="M66" s="7"/>
      <c r="N66" s="13"/>
      <c r="O66" s="15" t="str">
        <f aca="false">IF($C66="","",IF($E66="Sell to open",1,-1)*$I66*$E$2*$H66)</f>
        <v/>
      </c>
      <c r="P66" s="15" t="str">
        <f aca="false">IF($C66="","",IF($C66="Long call",$F66+$I66,IF($C66="Covered call",$J66-$I66,$F66-$I66)))</f>
        <v/>
      </c>
      <c r="Q66" s="16" t="str">
        <f aca="false">IF($C66="","",IF($AA66="Open",$B$2,IF($M66&lt;&gt;"",$M66,$G66))-$A66)</f>
        <v/>
      </c>
      <c r="R66" s="16" t="str">
        <f aca="false">IF($C66="","",IF($AA66="Open",MAX($G66-$B$2,0),""))</f>
        <v/>
      </c>
      <c r="S66" s="15" t="str">
        <f aca="false">IF(OR($C66="",$AA66="Open"),"",IF($L66="Closed",-IF($E66="Sell to open",1,-1)*$N66*$E$2*$H66,0))</f>
        <v/>
      </c>
      <c r="T66" s="15" t="str">
        <f aca="false">IF(OR($C66="",$AA66="Open"),"",$O66+$S66-$K66)</f>
        <v/>
      </c>
      <c r="U66" s="15" t="str">
        <f aca="false">IF(OR($C66="",$AA66="Open"),"",IF(AND($C66="Covered call",$L66="Assigned"),($F66-$J66)*$E$2*$H66,0))</f>
        <v/>
      </c>
      <c r="V66" s="15" t="str">
        <f aca="false">IF(OR($C66="",$AA66="Open"),"",$T66+$U66)</f>
        <v/>
      </c>
      <c r="W66" s="15" t="str">
        <f aca="false">IF($C66="","",IF(OR($C66="Long call",$C66="Long put"),$I66*$E$2*$H66,(IF($C66="Covered call",$J66,$F66)-$I66)*$E$2*$H66))</f>
        <v/>
      </c>
      <c r="X66" s="17" t="str">
        <f aca="false">IF(OR($C66="",$AA66="Open"),"",IF($W66&gt;0,$V66/$W66,""))</f>
        <v/>
      </c>
      <c r="Y66" s="17" t="str">
        <f aca="false">IF(OR($C66="",$AA66="Open"),"",IF($W66&gt;0,$X66*365/MAX($Q66,1),""))</f>
        <v/>
      </c>
      <c r="Z66" s="18" t="str">
        <f aca="false">IF(OR($C66="",$AA66="Open"),"",IF($M66&lt;&gt;"",$M66,$G66))</f>
        <v/>
      </c>
      <c r="AA66" s="12" t="str">
        <f aca="false">IF($C66="","",IF(OR($L66="Open",$L66=""),"Open","Realized"))</f>
        <v/>
      </c>
    </row>
    <row r="67" customFormat="false" ht="15" hidden="false" customHeight="false" outlineLevel="0" collapsed="false">
      <c r="A67" s="7"/>
      <c r="B67" s="9"/>
      <c r="C67" s="9"/>
      <c r="D67" s="12" t="str">
        <f aca="false">IF($C67="","",IF(OR($C67="Long call",$C67="Covered call"),"Call","Put"))</f>
        <v/>
      </c>
      <c r="E67" s="12" t="str">
        <f aca="false">IF($C67="","",IF(OR($C67="Long call",$C67="Long put"),"Buy to open","Sell to open"))</f>
        <v/>
      </c>
      <c r="F67" s="13"/>
      <c r="G67" s="7"/>
      <c r="H67" s="14"/>
      <c r="I67" s="13"/>
      <c r="J67" s="13"/>
      <c r="K67" s="13"/>
      <c r="L67" s="9"/>
      <c r="M67" s="7"/>
      <c r="N67" s="13"/>
      <c r="O67" s="15" t="str">
        <f aca="false">IF($C67="","",IF($E67="Sell to open",1,-1)*$I67*$E$2*$H67)</f>
        <v/>
      </c>
      <c r="P67" s="15" t="str">
        <f aca="false">IF($C67="","",IF($C67="Long call",$F67+$I67,IF($C67="Covered call",$J67-$I67,$F67-$I67)))</f>
        <v/>
      </c>
      <c r="Q67" s="16" t="str">
        <f aca="false">IF($C67="","",IF($AA67="Open",$B$2,IF($M67&lt;&gt;"",$M67,$G67))-$A67)</f>
        <v/>
      </c>
      <c r="R67" s="16" t="str">
        <f aca="false">IF($C67="","",IF($AA67="Open",MAX($G67-$B$2,0),""))</f>
        <v/>
      </c>
      <c r="S67" s="15" t="str">
        <f aca="false">IF(OR($C67="",$AA67="Open"),"",IF($L67="Closed",-IF($E67="Sell to open",1,-1)*$N67*$E$2*$H67,0))</f>
        <v/>
      </c>
      <c r="T67" s="15" t="str">
        <f aca="false">IF(OR($C67="",$AA67="Open"),"",$O67+$S67-$K67)</f>
        <v/>
      </c>
      <c r="U67" s="15" t="str">
        <f aca="false">IF(OR($C67="",$AA67="Open"),"",IF(AND($C67="Covered call",$L67="Assigned"),($F67-$J67)*$E$2*$H67,0))</f>
        <v/>
      </c>
      <c r="V67" s="15" t="str">
        <f aca="false">IF(OR($C67="",$AA67="Open"),"",$T67+$U67)</f>
        <v/>
      </c>
      <c r="W67" s="15" t="str">
        <f aca="false">IF($C67="","",IF(OR($C67="Long call",$C67="Long put"),$I67*$E$2*$H67,(IF($C67="Covered call",$J67,$F67)-$I67)*$E$2*$H67))</f>
        <v/>
      </c>
      <c r="X67" s="17" t="str">
        <f aca="false">IF(OR($C67="",$AA67="Open"),"",IF($W67&gt;0,$V67/$W67,""))</f>
        <v/>
      </c>
      <c r="Y67" s="17" t="str">
        <f aca="false">IF(OR($C67="",$AA67="Open"),"",IF($W67&gt;0,$X67*365/MAX($Q67,1),""))</f>
        <v/>
      </c>
      <c r="Z67" s="18" t="str">
        <f aca="false">IF(OR($C67="",$AA67="Open"),"",IF($M67&lt;&gt;"",$M67,$G67))</f>
        <v/>
      </c>
      <c r="AA67" s="12" t="str">
        <f aca="false">IF($C67="","",IF(OR($L67="Open",$L67=""),"Open","Realized"))</f>
        <v/>
      </c>
    </row>
    <row r="68" customFormat="false" ht="15" hidden="false" customHeight="false" outlineLevel="0" collapsed="false">
      <c r="A68" s="7"/>
      <c r="B68" s="9"/>
      <c r="C68" s="9"/>
      <c r="D68" s="12" t="str">
        <f aca="false">IF($C68="","",IF(OR($C68="Long call",$C68="Covered call"),"Call","Put"))</f>
        <v/>
      </c>
      <c r="E68" s="12" t="str">
        <f aca="false">IF($C68="","",IF(OR($C68="Long call",$C68="Long put"),"Buy to open","Sell to open"))</f>
        <v/>
      </c>
      <c r="F68" s="13"/>
      <c r="G68" s="7"/>
      <c r="H68" s="14"/>
      <c r="I68" s="13"/>
      <c r="J68" s="13"/>
      <c r="K68" s="13"/>
      <c r="L68" s="9"/>
      <c r="M68" s="7"/>
      <c r="N68" s="13"/>
      <c r="O68" s="15" t="str">
        <f aca="false">IF($C68="","",IF($E68="Sell to open",1,-1)*$I68*$E$2*$H68)</f>
        <v/>
      </c>
      <c r="P68" s="15" t="str">
        <f aca="false">IF($C68="","",IF($C68="Long call",$F68+$I68,IF($C68="Covered call",$J68-$I68,$F68-$I68)))</f>
        <v/>
      </c>
      <c r="Q68" s="16" t="str">
        <f aca="false">IF($C68="","",IF($AA68="Open",$B$2,IF($M68&lt;&gt;"",$M68,$G68))-$A68)</f>
        <v/>
      </c>
      <c r="R68" s="16" t="str">
        <f aca="false">IF($C68="","",IF($AA68="Open",MAX($G68-$B$2,0),""))</f>
        <v/>
      </c>
      <c r="S68" s="15" t="str">
        <f aca="false">IF(OR($C68="",$AA68="Open"),"",IF($L68="Closed",-IF($E68="Sell to open",1,-1)*$N68*$E$2*$H68,0))</f>
        <v/>
      </c>
      <c r="T68" s="15" t="str">
        <f aca="false">IF(OR($C68="",$AA68="Open"),"",$O68+$S68-$K68)</f>
        <v/>
      </c>
      <c r="U68" s="15" t="str">
        <f aca="false">IF(OR($C68="",$AA68="Open"),"",IF(AND($C68="Covered call",$L68="Assigned"),($F68-$J68)*$E$2*$H68,0))</f>
        <v/>
      </c>
      <c r="V68" s="15" t="str">
        <f aca="false">IF(OR($C68="",$AA68="Open"),"",$T68+$U68)</f>
        <v/>
      </c>
      <c r="W68" s="15" t="str">
        <f aca="false">IF($C68="","",IF(OR($C68="Long call",$C68="Long put"),$I68*$E$2*$H68,(IF($C68="Covered call",$J68,$F68)-$I68)*$E$2*$H68))</f>
        <v/>
      </c>
      <c r="X68" s="17" t="str">
        <f aca="false">IF(OR($C68="",$AA68="Open"),"",IF($W68&gt;0,$V68/$W68,""))</f>
        <v/>
      </c>
      <c r="Y68" s="17" t="str">
        <f aca="false">IF(OR($C68="",$AA68="Open"),"",IF($W68&gt;0,$X68*365/MAX($Q68,1),""))</f>
        <v/>
      </c>
      <c r="Z68" s="18" t="str">
        <f aca="false">IF(OR($C68="",$AA68="Open"),"",IF($M68&lt;&gt;"",$M68,$G68))</f>
        <v/>
      </c>
      <c r="AA68" s="12" t="str">
        <f aca="false">IF($C68="","",IF(OR($L68="Open",$L68=""),"Open","Realized"))</f>
        <v/>
      </c>
    </row>
    <row r="69" customFormat="false" ht="15" hidden="false" customHeight="false" outlineLevel="0" collapsed="false">
      <c r="A69" s="7"/>
      <c r="B69" s="9"/>
      <c r="C69" s="9"/>
      <c r="D69" s="12" t="str">
        <f aca="false">IF($C69="","",IF(OR($C69="Long call",$C69="Covered call"),"Call","Put"))</f>
        <v/>
      </c>
      <c r="E69" s="12" t="str">
        <f aca="false">IF($C69="","",IF(OR($C69="Long call",$C69="Long put"),"Buy to open","Sell to open"))</f>
        <v/>
      </c>
      <c r="F69" s="13"/>
      <c r="G69" s="7"/>
      <c r="H69" s="14"/>
      <c r="I69" s="13"/>
      <c r="J69" s="13"/>
      <c r="K69" s="13"/>
      <c r="L69" s="9"/>
      <c r="M69" s="7"/>
      <c r="N69" s="13"/>
      <c r="O69" s="15" t="str">
        <f aca="false">IF($C69="","",IF($E69="Sell to open",1,-1)*$I69*$E$2*$H69)</f>
        <v/>
      </c>
      <c r="P69" s="15" t="str">
        <f aca="false">IF($C69="","",IF($C69="Long call",$F69+$I69,IF($C69="Covered call",$J69-$I69,$F69-$I69)))</f>
        <v/>
      </c>
      <c r="Q69" s="16" t="str">
        <f aca="false">IF($C69="","",IF($AA69="Open",$B$2,IF($M69&lt;&gt;"",$M69,$G69))-$A69)</f>
        <v/>
      </c>
      <c r="R69" s="16" t="str">
        <f aca="false">IF($C69="","",IF($AA69="Open",MAX($G69-$B$2,0),""))</f>
        <v/>
      </c>
      <c r="S69" s="15" t="str">
        <f aca="false">IF(OR($C69="",$AA69="Open"),"",IF($L69="Closed",-IF($E69="Sell to open",1,-1)*$N69*$E$2*$H69,0))</f>
        <v/>
      </c>
      <c r="T69" s="15" t="str">
        <f aca="false">IF(OR($C69="",$AA69="Open"),"",$O69+$S69-$K69)</f>
        <v/>
      </c>
      <c r="U69" s="15" t="str">
        <f aca="false">IF(OR($C69="",$AA69="Open"),"",IF(AND($C69="Covered call",$L69="Assigned"),($F69-$J69)*$E$2*$H69,0))</f>
        <v/>
      </c>
      <c r="V69" s="15" t="str">
        <f aca="false">IF(OR($C69="",$AA69="Open"),"",$T69+$U69)</f>
        <v/>
      </c>
      <c r="W69" s="15" t="str">
        <f aca="false">IF($C69="","",IF(OR($C69="Long call",$C69="Long put"),$I69*$E$2*$H69,(IF($C69="Covered call",$J69,$F69)-$I69)*$E$2*$H69))</f>
        <v/>
      </c>
      <c r="X69" s="17" t="str">
        <f aca="false">IF(OR($C69="",$AA69="Open"),"",IF($W69&gt;0,$V69/$W69,""))</f>
        <v/>
      </c>
      <c r="Y69" s="17" t="str">
        <f aca="false">IF(OR($C69="",$AA69="Open"),"",IF($W69&gt;0,$X69*365/MAX($Q69,1),""))</f>
        <v/>
      </c>
      <c r="Z69" s="18" t="str">
        <f aca="false">IF(OR($C69="",$AA69="Open"),"",IF($M69&lt;&gt;"",$M69,$G69))</f>
        <v/>
      </c>
      <c r="AA69" s="12" t="str">
        <f aca="false">IF($C69="","",IF(OR($L69="Open",$L69=""),"Open","Realized"))</f>
        <v/>
      </c>
    </row>
    <row r="70" customFormat="false" ht="15" hidden="false" customHeight="false" outlineLevel="0" collapsed="false">
      <c r="A70" s="7"/>
      <c r="B70" s="9"/>
      <c r="C70" s="9"/>
      <c r="D70" s="12" t="str">
        <f aca="false">IF($C70="","",IF(OR($C70="Long call",$C70="Covered call"),"Call","Put"))</f>
        <v/>
      </c>
      <c r="E70" s="12" t="str">
        <f aca="false">IF($C70="","",IF(OR($C70="Long call",$C70="Long put"),"Buy to open","Sell to open"))</f>
        <v/>
      </c>
      <c r="F70" s="13"/>
      <c r="G70" s="7"/>
      <c r="H70" s="14"/>
      <c r="I70" s="13"/>
      <c r="J70" s="13"/>
      <c r="K70" s="13"/>
      <c r="L70" s="9"/>
      <c r="M70" s="7"/>
      <c r="N70" s="13"/>
      <c r="O70" s="15" t="str">
        <f aca="false">IF($C70="","",IF($E70="Sell to open",1,-1)*$I70*$E$2*$H70)</f>
        <v/>
      </c>
      <c r="P70" s="15" t="str">
        <f aca="false">IF($C70="","",IF($C70="Long call",$F70+$I70,IF($C70="Covered call",$J70-$I70,$F70-$I70)))</f>
        <v/>
      </c>
      <c r="Q70" s="16" t="str">
        <f aca="false">IF($C70="","",IF($AA70="Open",$B$2,IF($M70&lt;&gt;"",$M70,$G70))-$A70)</f>
        <v/>
      </c>
      <c r="R70" s="16" t="str">
        <f aca="false">IF($C70="","",IF($AA70="Open",MAX($G70-$B$2,0),""))</f>
        <v/>
      </c>
      <c r="S70" s="15" t="str">
        <f aca="false">IF(OR($C70="",$AA70="Open"),"",IF($L70="Closed",-IF($E70="Sell to open",1,-1)*$N70*$E$2*$H70,0))</f>
        <v/>
      </c>
      <c r="T70" s="15" t="str">
        <f aca="false">IF(OR($C70="",$AA70="Open"),"",$O70+$S70-$K70)</f>
        <v/>
      </c>
      <c r="U70" s="15" t="str">
        <f aca="false">IF(OR($C70="",$AA70="Open"),"",IF(AND($C70="Covered call",$L70="Assigned"),($F70-$J70)*$E$2*$H70,0))</f>
        <v/>
      </c>
      <c r="V70" s="15" t="str">
        <f aca="false">IF(OR($C70="",$AA70="Open"),"",$T70+$U70)</f>
        <v/>
      </c>
      <c r="W70" s="15" t="str">
        <f aca="false">IF($C70="","",IF(OR($C70="Long call",$C70="Long put"),$I70*$E$2*$H70,(IF($C70="Covered call",$J70,$F70)-$I70)*$E$2*$H70))</f>
        <v/>
      </c>
      <c r="X70" s="17" t="str">
        <f aca="false">IF(OR($C70="",$AA70="Open"),"",IF($W70&gt;0,$V70/$W70,""))</f>
        <v/>
      </c>
      <c r="Y70" s="17" t="str">
        <f aca="false">IF(OR($C70="",$AA70="Open"),"",IF($W70&gt;0,$X70*365/MAX($Q70,1),""))</f>
        <v/>
      </c>
      <c r="Z70" s="18" t="str">
        <f aca="false">IF(OR($C70="",$AA70="Open"),"",IF($M70&lt;&gt;"",$M70,$G70))</f>
        <v/>
      </c>
      <c r="AA70" s="12" t="str">
        <f aca="false">IF($C70="","",IF(OR($L70="Open",$L70=""),"Open","Realized"))</f>
        <v/>
      </c>
    </row>
    <row r="71" customFormat="false" ht="15" hidden="false" customHeight="false" outlineLevel="0" collapsed="false">
      <c r="A71" s="7"/>
      <c r="B71" s="9"/>
      <c r="C71" s="9"/>
      <c r="D71" s="12" t="str">
        <f aca="false">IF($C71="","",IF(OR($C71="Long call",$C71="Covered call"),"Call","Put"))</f>
        <v/>
      </c>
      <c r="E71" s="12" t="str">
        <f aca="false">IF($C71="","",IF(OR($C71="Long call",$C71="Long put"),"Buy to open","Sell to open"))</f>
        <v/>
      </c>
      <c r="F71" s="13"/>
      <c r="G71" s="7"/>
      <c r="H71" s="14"/>
      <c r="I71" s="13"/>
      <c r="J71" s="13"/>
      <c r="K71" s="13"/>
      <c r="L71" s="9"/>
      <c r="M71" s="7"/>
      <c r="N71" s="13"/>
      <c r="O71" s="15" t="str">
        <f aca="false">IF($C71="","",IF($E71="Sell to open",1,-1)*$I71*$E$2*$H71)</f>
        <v/>
      </c>
      <c r="P71" s="15" t="str">
        <f aca="false">IF($C71="","",IF($C71="Long call",$F71+$I71,IF($C71="Covered call",$J71-$I71,$F71-$I71)))</f>
        <v/>
      </c>
      <c r="Q71" s="16" t="str">
        <f aca="false">IF($C71="","",IF($AA71="Open",$B$2,IF($M71&lt;&gt;"",$M71,$G71))-$A71)</f>
        <v/>
      </c>
      <c r="R71" s="16" t="str">
        <f aca="false">IF($C71="","",IF($AA71="Open",MAX($G71-$B$2,0),""))</f>
        <v/>
      </c>
      <c r="S71" s="15" t="str">
        <f aca="false">IF(OR($C71="",$AA71="Open"),"",IF($L71="Closed",-IF($E71="Sell to open",1,-1)*$N71*$E$2*$H71,0))</f>
        <v/>
      </c>
      <c r="T71" s="15" t="str">
        <f aca="false">IF(OR($C71="",$AA71="Open"),"",$O71+$S71-$K71)</f>
        <v/>
      </c>
      <c r="U71" s="15" t="str">
        <f aca="false">IF(OR($C71="",$AA71="Open"),"",IF(AND($C71="Covered call",$L71="Assigned"),($F71-$J71)*$E$2*$H71,0))</f>
        <v/>
      </c>
      <c r="V71" s="15" t="str">
        <f aca="false">IF(OR($C71="",$AA71="Open"),"",$T71+$U71)</f>
        <v/>
      </c>
      <c r="W71" s="15" t="str">
        <f aca="false">IF($C71="","",IF(OR($C71="Long call",$C71="Long put"),$I71*$E$2*$H71,(IF($C71="Covered call",$J71,$F71)-$I71)*$E$2*$H71))</f>
        <v/>
      </c>
      <c r="X71" s="17" t="str">
        <f aca="false">IF(OR($C71="",$AA71="Open"),"",IF($W71&gt;0,$V71/$W71,""))</f>
        <v/>
      </c>
      <c r="Y71" s="17" t="str">
        <f aca="false">IF(OR($C71="",$AA71="Open"),"",IF($W71&gt;0,$X71*365/MAX($Q71,1),""))</f>
        <v/>
      </c>
      <c r="Z71" s="18" t="str">
        <f aca="false">IF(OR($C71="",$AA71="Open"),"",IF($M71&lt;&gt;"",$M71,$G71))</f>
        <v/>
      </c>
      <c r="AA71" s="12" t="str">
        <f aca="false">IF($C71="","",IF(OR($L71="Open",$L71=""),"Open","Realized"))</f>
        <v/>
      </c>
    </row>
    <row r="72" customFormat="false" ht="15" hidden="false" customHeight="false" outlineLevel="0" collapsed="false">
      <c r="A72" s="7"/>
      <c r="B72" s="9"/>
      <c r="C72" s="9"/>
      <c r="D72" s="12" t="str">
        <f aca="false">IF($C72="","",IF(OR($C72="Long call",$C72="Covered call"),"Call","Put"))</f>
        <v/>
      </c>
      <c r="E72" s="12" t="str">
        <f aca="false">IF($C72="","",IF(OR($C72="Long call",$C72="Long put"),"Buy to open","Sell to open"))</f>
        <v/>
      </c>
      <c r="F72" s="13"/>
      <c r="G72" s="7"/>
      <c r="H72" s="14"/>
      <c r="I72" s="13"/>
      <c r="J72" s="13"/>
      <c r="K72" s="13"/>
      <c r="L72" s="9"/>
      <c r="M72" s="7"/>
      <c r="N72" s="13"/>
      <c r="O72" s="15" t="str">
        <f aca="false">IF($C72="","",IF($E72="Sell to open",1,-1)*$I72*$E$2*$H72)</f>
        <v/>
      </c>
      <c r="P72" s="15" t="str">
        <f aca="false">IF($C72="","",IF($C72="Long call",$F72+$I72,IF($C72="Covered call",$J72-$I72,$F72-$I72)))</f>
        <v/>
      </c>
      <c r="Q72" s="16" t="str">
        <f aca="false">IF($C72="","",IF($AA72="Open",$B$2,IF($M72&lt;&gt;"",$M72,$G72))-$A72)</f>
        <v/>
      </c>
      <c r="R72" s="16" t="str">
        <f aca="false">IF($C72="","",IF($AA72="Open",MAX($G72-$B$2,0),""))</f>
        <v/>
      </c>
      <c r="S72" s="15" t="str">
        <f aca="false">IF(OR($C72="",$AA72="Open"),"",IF($L72="Closed",-IF($E72="Sell to open",1,-1)*$N72*$E$2*$H72,0))</f>
        <v/>
      </c>
      <c r="T72" s="15" t="str">
        <f aca="false">IF(OR($C72="",$AA72="Open"),"",$O72+$S72-$K72)</f>
        <v/>
      </c>
      <c r="U72" s="15" t="str">
        <f aca="false">IF(OR($C72="",$AA72="Open"),"",IF(AND($C72="Covered call",$L72="Assigned"),($F72-$J72)*$E$2*$H72,0))</f>
        <v/>
      </c>
      <c r="V72" s="15" t="str">
        <f aca="false">IF(OR($C72="",$AA72="Open"),"",$T72+$U72)</f>
        <v/>
      </c>
      <c r="W72" s="15" t="str">
        <f aca="false">IF($C72="","",IF(OR($C72="Long call",$C72="Long put"),$I72*$E$2*$H72,(IF($C72="Covered call",$J72,$F72)-$I72)*$E$2*$H72))</f>
        <v/>
      </c>
      <c r="X72" s="17" t="str">
        <f aca="false">IF(OR($C72="",$AA72="Open"),"",IF($W72&gt;0,$V72/$W72,""))</f>
        <v/>
      </c>
      <c r="Y72" s="17" t="str">
        <f aca="false">IF(OR($C72="",$AA72="Open"),"",IF($W72&gt;0,$X72*365/MAX($Q72,1),""))</f>
        <v/>
      </c>
      <c r="Z72" s="18" t="str">
        <f aca="false">IF(OR($C72="",$AA72="Open"),"",IF($M72&lt;&gt;"",$M72,$G72))</f>
        <v/>
      </c>
      <c r="AA72" s="12" t="str">
        <f aca="false">IF($C72="","",IF(OR($L72="Open",$L72=""),"Open","Realized"))</f>
        <v/>
      </c>
    </row>
    <row r="73" customFormat="false" ht="15" hidden="false" customHeight="false" outlineLevel="0" collapsed="false">
      <c r="A73" s="7"/>
      <c r="B73" s="9"/>
      <c r="C73" s="9"/>
      <c r="D73" s="12" t="str">
        <f aca="false">IF($C73="","",IF(OR($C73="Long call",$C73="Covered call"),"Call","Put"))</f>
        <v/>
      </c>
      <c r="E73" s="12" t="str">
        <f aca="false">IF($C73="","",IF(OR($C73="Long call",$C73="Long put"),"Buy to open","Sell to open"))</f>
        <v/>
      </c>
      <c r="F73" s="13"/>
      <c r="G73" s="7"/>
      <c r="H73" s="14"/>
      <c r="I73" s="13"/>
      <c r="J73" s="13"/>
      <c r="K73" s="13"/>
      <c r="L73" s="9"/>
      <c r="M73" s="7"/>
      <c r="N73" s="13"/>
      <c r="O73" s="15" t="str">
        <f aca="false">IF($C73="","",IF($E73="Sell to open",1,-1)*$I73*$E$2*$H73)</f>
        <v/>
      </c>
      <c r="P73" s="15" t="str">
        <f aca="false">IF($C73="","",IF($C73="Long call",$F73+$I73,IF($C73="Covered call",$J73-$I73,$F73-$I73)))</f>
        <v/>
      </c>
      <c r="Q73" s="16" t="str">
        <f aca="false">IF($C73="","",IF($AA73="Open",$B$2,IF($M73&lt;&gt;"",$M73,$G73))-$A73)</f>
        <v/>
      </c>
      <c r="R73" s="16" t="str">
        <f aca="false">IF($C73="","",IF($AA73="Open",MAX($G73-$B$2,0),""))</f>
        <v/>
      </c>
      <c r="S73" s="15" t="str">
        <f aca="false">IF(OR($C73="",$AA73="Open"),"",IF($L73="Closed",-IF($E73="Sell to open",1,-1)*$N73*$E$2*$H73,0))</f>
        <v/>
      </c>
      <c r="T73" s="15" t="str">
        <f aca="false">IF(OR($C73="",$AA73="Open"),"",$O73+$S73-$K73)</f>
        <v/>
      </c>
      <c r="U73" s="15" t="str">
        <f aca="false">IF(OR($C73="",$AA73="Open"),"",IF(AND($C73="Covered call",$L73="Assigned"),($F73-$J73)*$E$2*$H73,0))</f>
        <v/>
      </c>
      <c r="V73" s="15" t="str">
        <f aca="false">IF(OR($C73="",$AA73="Open"),"",$T73+$U73)</f>
        <v/>
      </c>
      <c r="W73" s="15" t="str">
        <f aca="false">IF($C73="","",IF(OR($C73="Long call",$C73="Long put"),$I73*$E$2*$H73,(IF($C73="Covered call",$J73,$F73)-$I73)*$E$2*$H73))</f>
        <v/>
      </c>
      <c r="X73" s="17" t="str">
        <f aca="false">IF(OR($C73="",$AA73="Open"),"",IF($W73&gt;0,$V73/$W73,""))</f>
        <v/>
      </c>
      <c r="Y73" s="17" t="str">
        <f aca="false">IF(OR($C73="",$AA73="Open"),"",IF($W73&gt;0,$X73*365/MAX($Q73,1),""))</f>
        <v/>
      </c>
      <c r="Z73" s="18" t="str">
        <f aca="false">IF(OR($C73="",$AA73="Open"),"",IF($M73&lt;&gt;"",$M73,$G73))</f>
        <v/>
      </c>
      <c r="AA73" s="12" t="str">
        <f aca="false">IF($C73="","",IF(OR($L73="Open",$L73=""),"Open","Realized"))</f>
        <v/>
      </c>
    </row>
    <row r="74" customFormat="false" ht="15" hidden="false" customHeight="false" outlineLevel="0" collapsed="false">
      <c r="A74" s="7"/>
      <c r="B74" s="9"/>
      <c r="C74" s="9"/>
      <c r="D74" s="12" t="str">
        <f aca="false">IF($C74="","",IF(OR($C74="Long call",$C74="Covered call"),"Call","Put"))</f>
        <v/>
      </c>
      <c r="E74" s="12" t="str">
        <f aca="false">IF($C74="","",IF(OR($C74="Long call",$C74="Long put"),"Buy to open","Sell to open"))</f>
        <v/>
      </c>
      <c r="F74" s="13"/>
      <c r="G74" s="7"/>
      <c r="H74" s="14"/>
      <c r="I74" s="13"/>
      <c r="J74" s="13"/>
      <c r="K74" s="13"/>
      <c r="L74" s="9"/>
      <c r="M74" s="7"/>
      <c r="N74" s="13"/>
      <c r="O74" s="15" t="str">
        <f aca="false">IF($C74="","",IF($E74="Sell to open",1,-1)*$I74*$E$2*$H74)</f>
        <v/>
      </c>
      <c r="P74" s="15" t="str">
        <f aca="false">IF($C74="","",IF($C74="Long call",$F74+$I74,IF($C74="Covered call",$J74-$I74,$F74-$I74)))</f>
        <v/>
      </c>
      <c r="Q74" s="16" t="str">
        <f aca="false">IF($C74="","",IF($AA74="Open",$B$2,IF($M74&lt;&gt;"",$M74,$G74))-$A74)</f>
        <v/>
      </c>
      <c r="R74" s="16" t="str">
        <f aca="false">IF($C74="","",IF($AA74="Open",MAX($G74-$B$2,0),""))</f>
        <v/>
      </c>
      <c r="S74" s="15" t="str">
        <f aca="false">IF(OR($C74="",$AA74="Open"),"",IF($L74="Closed",-IF($E74="Sell to open",1,-1)*$N74*$E$2*$H74,0))</f>
        <v/>
      </c>
      <c r="T74" s="15" t="str">
        <f aca="false">IF(OR($C74="",$AA74="Open"),"",$O74+$S74-$K74)</f>
        <v/>
      </c>
      <c r="U74" s="15" t="str">
        <f aca="false">IF(OR($C74="",$AA74="Open"),"",IF(AND($C74="Covered call",$L74="Assigned"),($F74-$J74)*$E$2*$H74,0))</f>
        <v/>
      </c>
      <c r="V74" s="15" t="str">
        <f aca="false">IF(OR($C74="",$AA74="Open"),"",$T74+$U74)</f>
        <v/>
      </c>
      <c r="W74" s="15" t="str">
        <f aca="false">IF($C74="","",IF(OR($C74="Long call",$C74="Long put"),$I74*$E$2*$H74,(IF($C74="Covered call",$J74,$F74)-$I74)*$E$2*$H74))</f>
        <v/>
      </c>
      <c r="X74" s="17" t="str">
        <f aca="false">IF(OR($C74="",$AA74="Open"),"",IF($W74&gt;0,$V74/$W74,""))</f>
        <v/>
      </c>
      <c r="Y74" s="17" t="str">
        <f aca="false">IF(OR($C74="",$AA74="Open"),"",IF($W74&gt;0,$X74*365/MAX($Q74,1),""))</f>
        <v/>
      </c>
      <c r="Z74" s="18" t="str">
        <f aca="false">IF(OR($C74="",$AA74="Open"),"",IF($M74&lt;&gt;"",$M74,$G74))</f>
        <v/>
      </c>
      <c r="AA74" s="12" t="str">
        <f aca="false">IF($C74="","",IF(OR($L74="Open",$L74=""),"Open","Realized"))</f>
        <v/>
      </c>
    </row>
    <row r="75" customFormat="false" ht="15" hidden="false" customHeight="false" outlineLevel="0" collapsed="false">
      <c r="A75" s="7"/>
      <c r="B75" s="9"/>
      <c r="C75" s="9"/>
      <c r="D75" s="12" t="str">
        <f aca="false">IF($C75="","",IF(OR($C75="Long call",$C75="Covered call"),"Call","Put"))</f>
        <v/>
      </c>
      <c r="E75" s="12" t="str">
        <f aca="false">IF($C75="","",IF(OR($C75="Long call",$C75="Long put"),"Buy to open","Sell to open"))</f>
        <v/>
      </c>
      <c r="F75" s="13"/>
      <c r="G75" s="7"/>
      <c r="H75" s="14"/>
      <c r="I75" s="13"/>
      <c r="J75" s="13"/>
      <c r="K75" s="13"/>
      <c r="L75" s="9"/>
      <c r="M75" s="7"/>
      <c r="N75" s="13"/>
      <c r="O75" s="15" t="str">
        <f aca="false">IF($C75="","",IF($E75="Sell to open",1,-1)*$I75*$E$2*$H75)</f>
        <v/>
      </c>
      <c r="P75" s="15" t="str">
        <f aca="false">IF($C75="","",IF($C75="Long call",$F75+$I75,IF($C75="Covered call",$J75-$I75,$F75-$I75)))</f>
        <v/>
      </c>
      <c r="Q75" s="16" t="str">
        <f aca="false">IF($C75="","",IF($AA75="Open",$B$2,IF($M75&lt;&gt;"",$M75,$G75))-$A75)</f>
        <v/>
      </c>
      <c r="R75" s="16" t="str">
        <f aca="false">IF($C75="","",IF($AA75="Open",MAX($G75-$B$2,0),""))</f>
        <v/>
      </c>
      <c r="S75" s="15" t="str">
        <f aca="false">IF(OR($C75="",$AA75="Open"),"",IF($L75="Closed",-IF($E75="Sell to open",1,-1)*$N75*$E$2*$H75,0))</f>
        <v/>
      </c>
      <c r="T75" s="15" t="str">
        <f aca="false">IF(OR($C75="",$AA75="Open"),"",$O75+$S75-$K75)</f>
        <v/>
      </c>
      <c r="U75" s="15" t="str">
        <f aca="false">IF(OR($C75="",$AA75="Open"),"",IF(AND($C75="Covered call",$L75="Assigned"),($F75-$J75)*$E$2*$H75,0))</f>
        <v/>
      </c>
      <c r="V75" s="15" t="str">
        <f aca="false">IF(OR($C75="",$AA75="Open"),"",$T75+$U75)</f>
        <v/>
      </c>
      <c r="W75" s="15" t="str">
        <f aca="false">IF($C75="","",IF(OR($C75="Long call",$C75="Long put"),$I75*$E$2*$H75,(IF($C75="Covered call",$J75,$F75)-$I75)*$E$2*$H75))</f>
        <v/>
      </c>
      <c r="X75" s="17" t="str">
        <f aca="false">IF(OR($C75="",$AA75="Open"),"",IF($W75&gt;0,$V75/$W75,""))</f>
        <v/>
      </c>
      <c r="Y75" s="17" t="str">
        <f aca="false">IF(OR($C75="",$AA75="Open"),"",IF($W75&gt;0,$X75*365/MAX($Q75,1),""))</f>
        <v/>
      </c>
      <c r="Z75" s="18" t="str">
        <f aca="false">IF(OR($C75="",$AA75="Open"),"",IF($M75&lt;&gt;"",$M75,$G75))</f>
        <v/>
      </c>
      <c r="AA75" s="12" t="str">
        <f aca="false">IF($C75="","",IF(OR($L75="Open",$L75=""),"Open","Realized"))</f>
        <v/>
      </c>
    </row>
    <row r="76" customFormat="false" ht="15" hidden="false" customHeight="false" outlineLevel="0" collapsed="false">
      <c r="A76" s="7"/>
      <c r="B76" s="9"/>
      <c r="C76" s="9"/>
      <c r="D76" s="12" t="str">
        <f aca="false">IF($C76="","",IF(OR($C76="Long call",$C76="Covered call"),"Call","Put"))</f>
        <v/>
      </c>
      <c r="E76" s="12" t="str">
        <f aca="false">IF($C76="","",IF(OR($C76="Long call",$C76="Long put"),"Buy to open","Sell to open"))</f>
        <v/>
      </c>
      <c r="F76" s="13"/>
      <c r="G76" s="7"/>
      <c r="H76" s="14"/>
      <c r="I76" s="13"/>
      <c r="J76" s="13"/>
      <c r="K76" s="13"/>
      <c r="L76" s="9"/>
      <c r="M76" s="7"/>
      <c r="N76" s="13"/>
      <c r="O76" s="15" t="str">
        <f aca="false">IF($C76="","",IF($E76="Sell to open",1,-1)*$I76*$E$2*$H76)</f>
        <v/>
      </c>
      <c r="P76" s="15" t="str">
        <f aca="false">IF($C76="","",IF($C76="Long call",$F76+$I76,IF($C76="Covered call",$J76-$I76,$F76-$I76)))</f>
        <v/>
      </c>
      <c r="Q76" s="16" t="str">
        <f aca="false">IF($C76="","",IF($AA76="Open",$B$2,IF($M76&lt;&gt;"",$M76,$G76))-$A76)</f>
        <v/>
      </c>
      <c r="R76" s="16" t="str">
        <f aca="false">IF($C76="","",IF($AA76="Open",MAX($G76-$B$2,0),""))</f>
        <v/>
      </c>
      <c r="S76" s="15" t="str">
        <f aca="false">IF(OR($C76="",$AA76="Open"),"",IF($L76="Closed",-IF($E76="Sell to open",1,-1)*$N76*$E$2*$H76,0))</f>
        <v/>
      </c>
      <c r="T76" s="15" t="str">
        <f aca="false">IF(OR($C76="",$AA76="Open"),"",$O76+$S76-$K76)</f>
        <v/>
      </c>
      <c r="U76" s="15" t="str">
        <f aca="false">IF(OR($C76="",$AA76="Open"),"",IF(AND($C76="Covered call",$L76="Assigned"),($F76-$J76)*$E$2*$H76,0))</f>
        <v/>
      </c>
      <c r="V76" s="15" t="str">
        <f aca="false">IF(OR($C76="",$AA76="Open"),"",$T76+$U76)</f>
        <v/>
      </c>
      <c r="W76" s="15" t="str">
        <f aca="false">IF($C76="","",IF(OR($C76="Long call",$C76="Long put"),$I76*$E$2*$H76,(IF($C76="Covered call",$J76,$F76)-$I76)*$E$2*$H76))</f>
        <v/>
      </c>
      <c r="X76" s="17" t="str">
        <f aca="false">IF(OR($C76="",$AA76="Open"),"",IF($W76&gt;0,$V76/$W76,""))</f>
        <v/>
      </c>
      <c r="Y76" s="17" t="str">
        <f aca="false">IF(OR($C76="",$AA76="Open"),"",IF($W76&gt;0,$X76*365/MAX($Q76,1),""))</f>
        <v/>
      </c>
      <c r="Z76" s="18" t="str">
        <f aca="false">IF(OR($C76="",$AA76="Open"),"",IF($M76&lt;&gt;"",$M76,$G76))</f>
        <v/>
      </c>
      <c r="AA76" s="12" t="str">
        <f aca="false">IF($C76="","",IF(OR($L76="Open",$L76=""),"Open","Realized"))</f>
        <v/>
      </c>
    </row>
    <row r="77" customFormat="false" ht="15" hidden="false" customHeight="false" outlineLevel="0" collapsed="false">
      <c r="A77" s="7"/>
      <c r="B77" s="9"/>
      <c r="C77" s="9"/>
      <c r="D77" s="12" t="str">
        <f aca="false">IF($C77="","",IF(OR($C77="Long call",$C77="Covered call"),"Call","Put"))</f>
        <v/>
      </c>
      <c r="E77" s="12" t="str">
        <f aca="false">IF($C77="","",IF(OR($C77="Long call",$C77="Long put"),"Buy to open","Sell to open"))</f>
        <v/>
      </c>
      <c r="F77" s="13"/>
      <c r="G77" s="7"/>
      <c r="H77" s="14"/>
      <c r="I77" s="13"/>
      <c r="J77" s="13"/>
      <c r="K77" s="13"/>
      <c r="L77" s="9"/>
      <c r="M77" s="7"/>
      <c r="N77" s="13"/>
      <c r="O77" s="15" t="str">
        <f aca="false">IF($C77="","",IF($E77="Sell to open",1,-1)*$I77*$E$2*$H77)</f>
        <v/>
      </c>
      <c r="P77" s="15" t="str">
        <f aca="false">IF($C77="","",IF($C77="Long call",$F77+$I77,IF($C77="Covered call",$J77-$I77,$F77-$I77)))</f>
        <v/>
      </c>
      <c r="Q77" s="16" t="str">
        <f aca="false">IF($C77="","",IF($AA77="Open",$B$2,IF($M77&lt;&gt;"",$M77,$G77))-$A77)</f>
        <v/>
      </c>
      <c r="R77" s="16" t="str">
        <f aca="false">IF($C77="","",IF($AA77="Open",MAX($G77-$B$2,0),""))</f>
        <v/>
      </c>
      <c r="S77" s="15" t="str">
        <f aca="false">IF(OR($C77="",$AA77="Open"),"",IF($L77="Closed",-IF($E77="Sell to open",1,-1)*$N77*$E$2*$H77,0))</f>
        <v/>
      </c>
      <c r="T77" s="15" t="str">
        <f aca="false">IF(OR($C77="",$AA77="Open"),"",$O77+$S77-$K77)</f>
        <v/>
      </c>
      <c r="U77" s="15" t="str">
        <f aca="false">IF(OR($C77="",$AA77="Open"),"",IF(AND($C77="Covered call",$L77="Assigned"),($F77-$J77)*$E$2*$H77,0))</f>
        <v/>
      </c>
      <c r="V77" s="15" t="str">
        <f aca="false">IF(OR($C77="",$AA77="Open"),"",$T77+$U77)</f>
        <v/>
      </c>
      <c r="W77" s="15" t="str">
        <f aca="false">IF($C77="","",IF(OR($C77="Long call",$C77="Long put"),$I77*$E$2*$H77,(IF($C77="Covered call",$J77,$F77)-$I77)*$E$2*$H77))</f>
        <v/>
      </c>
      <c r="X77" s="17" t="str">
        <f aca="false">IF(OR($C77="",$AA77="Open"),"",IF($W77&gt;0,$V77/$W77,""))</f>
        <v/>
      </c>
      <c r="Y77" s="17" t="str">
        <f aca="false">IF(OR($C77="",$AA77="Open"),"",IF($W77&gt;0,$X77*365/MAX($Q77,1),""))</f>
        <v/>
      </c>
      <c r="Z77" s="18" t="str">
        <f aca="false">IF(OR($C77="",$AA77="Open"),"",IF($M77&lt;&gt;"",$M77,$G77))</f>
        <v/>
      </c>
      <c r="AA77" s="12" t="str">
        <f aca="false">IF($C77="","",IF(OR($L77="Open",$L77=""),"Open","Realized"))</f>
        <v/>
      </c>
    </row>
    <row r="78" customFormat="false" ht="15" hidden="false" customHeight="false" outlineLevel="0" collapsed="false">
      <c r="A78" s="7"/>
      <c r="B78" s="9"/>
      <c r="C78" s="9"/>
      <c r="D78" s="12" t="str">
        <f aca="false">IF($C78="","",IF(OR($C78="Long call",$C78="Covered call"),"Call","Put"))</f>
        <v/>
      </c>
      <c r="E78" s="12" t="str">
        <f aca="false">IF($C78="","",IF(OR($C78="Long call",$C78="Long put"),"Buy to open","Sell to open"))</f>
        <v/>
      </c>
      <c r="F78" s="13"/>
      <c r="G78" s="7"/>
      <c r="H78" s="14"/>
      <c r="I78" s="13"/>
      <c r="J78" s="13"/>
      <c r="K78" s="13"/>
      <c r="L78" s="9"/>
      <c r="M78" s="7"/>
      <c r="N78" s="13"/>
      <c r="O78" s="15" t="str">
        <f aca="false">IF($C78="","",IF($E78="Sell to open",1,-1)*$I78*$E$2*$H78)</f>
        <v/>
      </c>
      <c r="P78" s="15" t="str">
        <f aca="false">IF($C78="","",IF($C78="Long call",$F78+$I78,IF($C78="Covered call",$J78-$I78,$F78-$I78)))</f>
        <v/>
      </c>
      <c r="Q78" s="16" t="str">
        <f aca="false">IF($C78="","",IF($AA78="Open",$B$2,IF($M78&lt;&gt;"",$M78,$G78))-$A78)</f>
        <v/>
      </c>
      <c r="R78" s="16" t="str">
        <f aca="false">IF($C78="","",IF($AA78="Open",MAX($G78-$B$2,0),""))</f>
        <v/>
      </c>
      <c r="S78" s="15" t="str">
        <f aca="false">IF(OR($C78="",$AA78="Open"),"",IF($L78="Closed",-IF($E78="Sell to open",1,-1)*$N78*$E$2*$H78,0))</f>
        <v/>
      </c>
      <c r="T78" s="15" t="str">
        <f aca="false">IF(OR($C78="",$AA78="Open"),"",$O78+$S78-$K78)</f>
        <v/>
      </c>
      <c r="U78" s="15" t="str">
        <f aca="false">IF(OR($C78="",$AA78="Open"),"",IF(AND($C78="Covered call",$L78="Assigned"),($F78-$J78)*$E$2*$H78,0))</f>
        <v/>
      </c>
      <c r="V78" s="15" t="str">
        <f aca="false">IF(OR($C78="",$AA78="Open"),"",$T78+$U78)</f>
        <v/>
      </c>
      <c r="W78" s="15" t="str">
        <f aca="false">IF($C78="","",IF(OR($C78="Long call",$C78="Long put"),$I78*$E$2*$H78,(IF($C78="Covered call",$J78,$F78)-$I78)*$E$2*$H78))</f>
        <v/>
      </c>
      <c r="X78" s="17" t="str">
        <f aca="false">IF(OR($C78="",$AA78="Open"),"",IF($W78&gt;0,$V78/$W78,""))</f>
        <v/>
      </c>
      <c r="Y78" s="17" t="str">
        <f aca="false">IF(OR($C78="",$AA78="Open"),"",IF($W78&gt;0,$X78*365/MAX($Q78,1),""))</f>
        <v/>
      </c>
      <c r="Z78" s="18" t="str">
        <f aca="false">IF(OR($C78="",$AA78="Open"),"",IF($M78&lt;&gt;"",$M78,$G78))</f>
        <v/>
      </c>
      <c r="AA78" s="12" t="str">
        <f aca="false">IF($C78="","",IF(OR($L78="Open",$L78=""),"Open","Realized"))</f>
        <v/>
      </c>
    </row>
    <row r="79" customFormat="false" ht="15" hidden="false" customHeight="false" outlineLevel="0" collapsed="false">
      <c r="A79" s="7"/>
      <c r="B79" s="9"/>
      <c r="C79" s="9"/>
      <c r="D79" s="12" t="str">
        <f aca="false">IF($C79="","",IF(OR($C79="Long call",$C79="Covered call"),"Call","Put"))</f>
        <v/>
      </c>
      <c r="E79" s="12" t="str">
        <f aca="false">IF($C79="","",IF(OR($C79="Long call",$C79="Long put"),"Buy to open","Sell to open"))</f>
        <v/>
      </c>
      <c r="F79" s="13"/>
      <c r="G79" s="7"/>
      <c r="H79" s="14"/>
      <c r="I79" s="13"/>
      <c r="J79" s="13"/>
      <c r="K79" s="13"/>
      <c r="L79" s="9"/>
      <c r="M79" s="7"/>
      <c r="N79" s="13"/>
      <c r="O79" s="15" t="str">
        <f aca="false">IF($C79="","",IF($E79="Sell to open",1,-1)*$I79*$E$2*$H79)</f>
        <v/>
      </c>
      <c r="P79" s="15" t="str">
        <f aca="false">IF($C79="","",IF($C79="Long call",$F79+$I79,IF($C79="Covered call",$J79-$I79,$F79-$I79)))</f>
        <v/>
      </c>
      <c r="Q79" s="16" t="str">
        <f aca="false">IF($C79="","",IF($AA79="Open",$B$2,IF($M79&lt;&gt;"",$M79,$G79))-$A79)</f>
        <v/>
      </c>
      <c r="R79" s="16" t="str">
        <f aca="false">IF($C79="","",IF($AA79="Open",MAX($G79-$B$2,0),""))</f>
        <v/>
      </c>
      <c r="S79" s="15" t="str">
        <f aca="false">IF(OR($C79="",$AA79="Open"),"",IF($L79="Closed",-IF($E79="Sell to open",1,-1)*$N79*$E$2*$H79,0))</f>
        <v/>
      </c>
      <c r="T79" s="15" t="str">
        <f aca="false">IF(OR($C79="",$AA79="Open"),"",$O79+$S79-$K79)</f>
        <v/>
      </c>
      <c r="U79" s="15" t="str">
        <f aca="false">IF(OR($C79="",$AA79="Open"),"",IF(AND($C79="Covered call",$L79="Assigned"),($F79-$J79)*$E$2*$H79,0))</f>
        <v/>
      </c>
      <c r="V79" s="15" t="str">
        <f aca="false">IF(OR($C79="",$AA79="Open"),"",$T79+$U79)</f>
        <v/>
      </c>
      <c r="W79" s="15" t="str">
        <f aca="false">IF($C79="","",IF(OR($C79="Long call",$C79="Long put"),$I79*$E$2*$H79,(IF($C79="Covered call",$J79,$F79)-$I79)*$E$2*$H79))</f>
        <v/>
      </c>
      <c r="X79" s="17" t="str">
        <f aca="false">IF(OR($C79="",$AA79="Open"),"",IF($W79&gt;0,$V79/$W79,""))</f>
        <v/>
      </c>
      <c r="Y79" s="17" t="str">
        <f aca="false">IF(OR($C79="",$AA79="Open"),"",IF($W79&gt;0,$X79*365/MAX($Q79,1),""))</f>
        <v/>
      </c>
      <c r="Z79" s="18" t="str">
        <f aca="false">IF(OR($C79="",$AA79="Open"),"",IF($M79&lt;&gt;"",$M79,$G79))</f>
        <v/>
      </c>
      <c r="AA79" s="12" t="str">
        <f aca="false">IF($C79="","",IF(OR($L79="Open",$L79=""),"Open","Realized"))</f>
        <v/>
      </c>
    </row>
    <row r="80" customFormat="false" ht="15" hidden="false" customHeight="false" outlineLevel="0" collapsed="false">
      <c r="A80" s="7"/>
      <c r="B80" s="9"/>
      <c r="C80" s="9"/>
      <c r="D80" s="12" t="str">
        <f aca="false">IF($C80="","",IF(OR($C80="Long call",$C80="Covered call"),"Call","Put"))</f>
        <v/>
      </c>
      <c r="E80" s="12" t="str">
        <f aca="false">IF($C80="","",IF(OR($C80="Long call",$C80="Long put"),"Buy to open","Sell to open"))</f>
        <v/>
      </c>
      <c r="F80" s="13"/>
      <c r="G80" s="7"/>
      <c r="H80" s="14"/>
      <c r="I80" s="13"/>
      <c r="J80" s="13"/>
      <c r="K80" s="13"/>
      <c r="L80" s="9"/>
      <c r="M80" s="7"/>
      <c r="N80" s="13"/>
      <c r="O80" s="15" t="str">
        <f aca="false">IF($C80="","",IF($E80="Sell to open",1,-1)*$I80*$E$2*$H80)</f>
        <v/>
      </c>
      <c r="P80" s="15" t="str">
        <f aca="false">IF($C80="","",IF($C80="Long call",$F80+$I80,IF($C80="Covered call",$J80-$I80,$F80-$I80)))</f>
        <v/>
      </c>
      <c r="Q80" s="16" t="str">
        <f aca="false">IF($C80="","",IF($AA80="Open",$B$2,IF($M80&lt;&gt;"",$M80,$G80))-$A80)</f>
        <v/>
      </c>
      <c r="R80" s="16" t="str">
        <f aca="false">IF($C80="","",IF($AA80="Open",MAX($G80-$B$2,0),""))</f>
        <v/>
      </c>
      <c r="S80" s="15" t="str">
        <f aca="false">IF(OR($C80="",$AA80="Open"),"",IF($L80="Closed",-IF($E80="Sell to open",1,-1)*$N80*$E$2*$H80,0))</f>
        <v/>
      </c>
      <c r="T80" s="15" t="str">
        <f aca="false">IF(OR($C80="",$AA80="Open"),"",$O80+$S80-$K80)</f>
        <v/>
      </c>
      <c r="U80" s="15" t="str">
        <f aca="false">IF(OR($C80="",$AA80="Open"),"",IF(AND($C80="Covered call",$L80="Assigned"),($F80-$J80)*$E$2*$H80,0))</f>
        <v/>
      </c>
      <c r="V80" s="15" t="str">
        <f aca="false">IF(OR($C80="",$AA80="Open"),"",$T80+$U80)</f>
        <v/>
      </c>
      <c r="W80" s="15" t="str">
        <f aca="false">IF($C80="","",IF(OR($C80="Long call",$C80="Long put"),$I80*$E$2*$H80,(IF($C80="Covered call",$J80,$F80)-$I80)*$E$2*$H80))</f>
        <v/>
      </c>
      <c r="X80" s="17" t="str">
        <f aca="false">IF(OR($C80="",$AA80="Open"),"",IF($W80&gt;0,$V80/$W80,""))</f>
        <v/>
      </c>
      <c r="Y80" s="17" t="str">
        <f aca="false">IF(OR($C80="",$AA80="Open"),"",IF($W80&gt;0,$X80*365/MAX($Q80,1),""))</f>
        <v/>
      </c>
      <c r="Z80" s="18" t="str">
        <f aca="false">IF(OR($C80="",$AA80="Open"),"",IF($M80&lt;&gt;"",$M80,$G80))</f>
        <v/>
      </c>
      <c r="AA80" s="12" t="str">
        <f aca="false">IF($C80="","",IF(OR($L80="Open",$L80=""),"Open","Realized"))</f>
        <v/>
      </c>
    </row>
    <row r="81" customFormat="false" ht="15" hidden="false" customHeight="false" outlineLevel="0" collapsed="false">
      <c r="A81" s="7"/>
      <c r="B81" s="9"/>
      <c r="C81" s="9"/>
      <c r="D81" s="12" t="str">
        <f aca="false">IF($C81="","",IF(OR($C81="Long call",$C81="Covered call"),"Call","Put"))</f>
        <v/>
      </c>
      <c r="E81" s="12" t="str">
        <f aca="false">IF($C81="","",IF(OR($C81="Long call",$C81="Long put"),"Buy to open","Sell to open"))</f>
        <v/>
      </c>
      <c r="F81" s="13"/>
      <c r="G81" s="7"/>
      <c r="H81" s="14"/>
      <c r="I81" s="13"/>
      <c r="J81" s="13"/>
      <c r="K81" s="13"/>
      <c r="L81" s="9"/>
      <c r="M81" s="7"/>
      <c r="N81" s="13"/>
      <c r="O81" s="15" t="str">
        <f aca="false">IF($C81="","",IF($E81="Sell to open",1,-1)*$I81*$E$2*$H81)</f>
        <v/>
      </c>
      <c r="P81" s="15" t="str">
        <f aca="false">IF($C81="","",IF($C81="Long call",$F81+$I81,IF($C81="Covered call",$J81-$I81,$F81-$I81)))</f>
        <v/>
      </c>
      <c r="Q81" s="16" t="str">
        <f aca="false">IF($C81="","",IF($AA81="Open",$B$2,IF($M81&lt;&gt;"",$M81,$G81))-$A81)</f>
        <v/>
      </c>
      <c r="R81" s="16" t="str">
        <f aca="false">IF($C81="","",IF($AA81="Open",MAX($G81-$B$2,0),""))</f>
        <v/>
      </c>
      <c r="S81" s="15" t="str">
        <f aca="false">IF(OR($C81="",$AA81="Open"),"",IF($L81="Closed",-IF($E81="Sell to open",1,-1)*$N81*$E$2*$H81,0))</f>
        <v/>
      </c>
      <c r="T81" s="15" t="str">
        <f aca="false">IF(OR($C81="",$AA81="Open"),"",$O81+$S81-$K81)</f>
        <v/>
      </c>
      <c r="U81" s="15" t="str">
        <f aca="false">IF(OR($C81="",$AA81="Open"),"",IF(AND($C81="Covered call",$L81="Assigned"),($F81-$J81)*$E$2*$H81,0))</f>
        <v/>
      </c>
      <c r="V81" s="15" t="str">
        <f aca="false">IF(OR($C81="",$AA81="Open"),"",$T81+$U81)</f>
        <v/>
      </c>
      <c r="W81" s="15" t="str">
        <f aca="false">IF($C81="","",IF(OR($C81="Long call",$C81="Long put"),$I81*$E$2*$H81,(IF($C81="Covered call",$J81,$F81)-$I81)*$E$2*$H81))</f>
        <v/>
      </c>
      <c r="X81" s="17" t="str">
        <f aca="false">IF(OR($C81="",$AA81="Open"),"",IF($W81&gt;0,$V81/$W81,""))</f>
        <v/>
      </c>
      <c r="Y81" s="17" t="str">
        <f aca="false">IF(OR($C81="",$AA81="Open"),"",IF($W81&gt;0,$X81*365/MAX($Q81,1),""))</f>
        <v/>
      </c>
      <c r="Z81" s="18" t="str">
        <f aca="false">IF(OR($C81="",$AA81="Open"),"",IF($M81&lt;&gt;"",$M81,$G81))</f>
        <v/>
      </c>
      <c r="AA81" s="12" t="str">
        <f aca="false">IF($C81="","",IF(OR($L81="Open",$L81=""),"Open","Realized"))</f>
        <v/>
      </c>
    </row>
    <row r="82" customFormat="false" ht="15" hidden="false" customHeight="false" outlineLevel="0" collapsed="false">
      <c r="A82" s="7"/>
      <c r="B82" s="9"/>
      <c r="C82" s="9"/>
      <c r="D82" s="12" t="str">
        <f aca="false">IF($C82="","",IF(OR($C82="Long call",$C82="Covered call"),"Call","Put"))</f>
        <v/>
      </c>
      <c r="E82" s="12" t="str">
        <f aca="false">IF($C82="","",IF(OR($C82="Long call",$C82="Long put"),"Buy to open","Sell to open"))</f>
        <v/>
      </c>
      <c r="F82" s="13"/>
      <c r="G82" s="7"/>
      <c r="H82" s="14"/>
      <c r="I82" s="13"/>
      <c r="J82" s="13"/>
      <c r="K82" s="13"/>
      <c r="L82" s="9"/>
      <c r="M82" s="7"/>
      <c r="N82" s="13"/>
      <c r="O82" s="15" t="str">
        <f aca="false">IF($C82="","",IF($E82="Sell to open",1,-1)*$I82*$E$2*$H82)</f>
        <v/>
      </c>
      <c r="P82" s="15" t="str">
        <f aca="false">IF($C82="","",IF($C82="Long call",$F82+$I82,IF($C82="Covered call",$J82-$I82,$F82-$I82)))</f>
        <v/>
      </c>
      <c r="Q82" s="16" t="str">
        <f aca="false">IF($C82="","",IF($AA82="Open",$B$2,IF($M82&lt;&gt;"",$M82,$G82))-$A82)</f>
        <v/>
      </c>
      <c r="R82" s="16" t="str">
        <f aca="false">IF($C82="","",IF($AA82="Open",MAX($G82-$B$2,0),""))</f>
        <v/>
      </c>
      <c r="S82" s="15" t="str">
        <f aca="false">IF(OR($C82="",$AA82="Open"),"",IF($L82="Closed",-IF($E82="Sell to open",1,-1)*$N82*$E$2*$H82,0))</f>
        <v/>
      </c>
      <c r="T82" s="15" t="str">
        <f aca="false">IF(OR($C82="",$AA82="Open"),"",$O82+$S82-$K82)</f>
        <v/>
      </c>
      <c r="U82" s="15" t="str">
        <f aca="false">IF(OR($C82="",$AA82="Open"),"",IF(AND($C82="Covered call",$L82="Assigned"),($F82-$J82)*$E$2*$H82,0))</f>
        <v/>
      </c>
      <c r="V82" s="15" t="str">
        <f aca="false">IF(OR($C82="",$AA82="Open"),"",$T82+$U82)</f>
        <v/>
      </c>
      <c r="W82" s="15" t="str">
        <f aca="false">IF($C82="","",IF(OR($C82="Long call",$C82="Long put"),$I82*$E$2*$H82,(IF($C82="Covered call",$J82,$F82)-$I82)*$E$2*$H82))</f>
        <v/>
      </c>
      <c r="X82" s="17" t="str">
        <f aca="false">IF(OR($C82="",$AA82="Open"),"",IF($W82&gt;0,$V82/$W82,""))</f>
        <v/>
      </c>
      <c r="Y82" s="17" t="str">
        <f aca="false">IF(OR($C82="",$AA82="Open"),"",IF($W82&gt;0,$X82*365/MAX($Q82,1),""))</f>
        <v/>
      </c>
      <c r="Z82" s="18" t="str">
        <f aca="false">IF(OR($C82="",$AA82="Open"),"",IF($M82&lt;&gt;"",$M82,$G82))</f>
        <v/>
      </c>
      <c r="AA82" s="12" t="str">
        <f aca="false">IF($C82="","",IF(OR($L82="Open",$L82=""),"Open","Realized"))</f>
        <v/>
      </c>
    </row>
    <row r="83" customFormat="false" ht="15" hidden="false" customHeight="false" outlineLevel="0" collapsed="false">
      <c r="A83" s="7"/>
      <c r="B83" s="9"/>
      <c r="C83" s="9"/>
      <c r="D83" s="12" t="str">
        <f aca="false">IF($C83="","",IF(OR($C83="Long call",$C83="Covered call"),"Call","Put"))</f>
        <v/>
      </c>
      <c r="E83" s="12" t="str">
        <f aca="false">IF($C83="","",IF(OR($C83="Long call",$C83="Long put"),"Buy to open","Sell to open"))</f>
        <v/>
      </c>
      <c r="F83" s="13"/>
      <c r="G83" s="7"/>
      <c r="H83" s="14"/>
      <c r="I83" s="13"/>
      <c r="J83" s="13"/>
      <c r="K83" s="13"/>
      <c r="L83" s="9"/>
      <c r="M83" s="7"/>
      <c r="N83" s="13"/>
      <c r="O83" s="15" t="str">
        <f aca="false">IF($C83="","",IF($E83="Sell to open",1,-1)*$I83*$E$2*$H83)</f>
        <v/>
      </c>
      <c r="P83" s="15" t="str">
        <f aca="false">IF($C83="","",IF($C83="Long call",$F83+$I83,IF($C83="Covered call",$J83-$I83,$F83-$I83)))</f>
        <v/>
      </c>
      <c r="Q83" s="16" t="str">
        <f aca="false">IF($C83="","",IF($AA83="Open",$B$2,IF($M83&lt;&gt;"",$M83,$G83))-$A83)</f>
        <v/>
      </c>
      <c r="R83" s="16" t="str">
        <f aca="false">IF($C83="","",IF($AA83="Open",MAX($G83-$B$2,0),""))</f>
        <v/>
      </c>
      <c r="S83" s="15" t="str">
        <f aca="false">IF(OR($C83="",$AA83="Open"),"",IF($L83="Closed",-IF($E83="Sell to open",1,-1)*$N83*$E$2*$H83,0))</f>
        <v/>
      </c>
      <c r="T83" s="15" t="str">
        <f aca="false">IF(OR($C83="",$AA83="Open"),"",$O83+$S83-$K83)</f>
        <v/>
      </c>
      <c r="U83" s="15" t="str">
        <f aca="false">IF(OR($C83="",$AA83="Open"),"",IF(AND($C83="Covered call",$L83="Assigned"),($F83-$J83)*$E$2*$H83,0))</f>
        <v/>
      </c>
      <c r="V83" s="15" t="str">
        <f aca="false">IF(OR($C83="",$AA83="Open"),"",$T83+$U83)</f>
        <v/>
      </c>
      <c r="W83" s="15" t="str">
        <f aca="false">IF($C83="","",IF(OR($C83="Long call",$C83="Long put"),$I83*$E$2*$H83,(IF($C83="Covered call",$J83,$F83)-$I83)*$E$2*$H83))</f>
        <v/>
      </c>
      <c r="X83" s="17" t="str">
        <f aca="false">IF(OR($C83="",$AA83="Open"),"",IF($W83&gt;0,$V83/$W83,""))</f>
        <v/>
      </c>
      <c r="Y83" s="17" t="str">
        <f aca="false">IF(OR($C83="",$AA83="Open"),"",IF($W83&gt;0,$X83*365/MAX($Q83,1),""))</f>
        <v/>
      </c>
      <c r="Z83" s="18" t="str">
        <f aca="false">IF(OR($C83="",$AA83="Open"),"",IF($M83&lt;&gt;"",$M83,$G83))</f>
        <v/>
      </c>
      <c r="AA83" s="12" t="str">
        <f aca="false">IF($C83="","",IF(OR($L83="Open",$L83=""),"Open","Realized"))</f>
        <v/>
      </c>
    </row>
    <row r="84" customFormat="false" ht="15" hidden="false" customHeight="false" outlineLevel="0" collapsed="false">
      <c r="A84" s="7"/>
      <c r="B84" s="9"/>
      <c r="C84" s="9"/>
      <c r="D84" s="12" t="str">
        <f aca="false">IF($C84="","",IF(OR($C84="Long call",$C84="Covered call"),"Call","Put"))</f>
        <v/>
      </c>
      <c r="E84" s="12" t="str">
        <f aca="false">IF($C84="","",IF(OR($C84="Long call",$C84="Long put"),"Buy to open","Sell to open"))</f>
        <v/>
      </c>
      <c r="F84" s="13"/>
      <c r="G84" s="7"/>
      <c r="H84" s="14"/>
      <c r="I84" s="13"/>
      <c r="J84" s="13"/>
      <c r="K84" s="13"/>
      <c r="L84" s="9"/>
      <c r="M84" s="7"/>
      <c r="N84" s="13"/>
      <c r="O84" s="15" t="str">
        <f aca="false">IF($C84="","",IF($E84="Sell to open",1,-1)*$I84*$E$2*$H84)</f>
        <v/>
      </c>
      <c r="P84" s="15" t="str">
        <f aca="false">IF($C84="","",IF($C84="Long call",$F84+$I84,IF($C84="Covered call",$J84-$I84,$F84-$I84)))</f>
        <v/>
      </c>
      <c r="Q84" s="16" t="str">
        <f aca="false">IF($C84="","",IF($AA84="Open",$B$2,IF($M84&lt;&gt;"",$M84,$G84))-$A84)</f>
        <v/>
      </c>
      <c r="R84" s="16" t="str">
        <f aca="false">IF($C84="","",IF($AA84="Open",MAX($G84-$B$2,0),""))</f>
        <v/>
      </c>
      <c r="S84" s="15" t="str">
        <f aca="false">IF(OR($C84="",$AA84="Open"),"",IF($L84="Closed",-IF($E84="Sell to open",1,-1)*$N84*$E$2*$H84,0))</f>
        <v/>
      </c>
      <c r="T84" s="15" t="str">
        <f aca="false">IF(OR($C84="",$AA84="Open"),"",$O84+$S84-$K84)</f>
        <v/>
      </c>
      <c r="U84" s="15" t="str">
        <f aca="false">IF(OR($C84="",$AA84="Open"),"",IF(AND($C84="Covered call",$L84="Assigned"),($F84-$J84)*$E$2*$H84,0))</f>
        <v/>
      </c>
      <c r="V84" s="15" t="str">
        <f aca="false">IF(OR($C84="",$AA84="Open"),"",$T84+$U84)</f>
        <v/>
      </c>
      <c r="W84" s="15" t="str">
        <f aca="false">IF($C84="","",IF(OR($C84="Long call",$C84="Long put"),$I84*$E$2*$H84,(IF($C84="Covered call",$J84,$F84)-$I84)*$E$2*$H84))</f>
        <v/>
      </c>
      <c r="X84" s="17" t="str">
        <f aca="false">IF(OR($C84="",$AA84="Open"),"",IF($W84&gt;0,$V84/$W84,""))</f>
        <v/>
      </c>
      <c r="Y84" s="17" t="str">
        <f aca="false">IF(OR($C84="",$AA84="Open"),"",IF($W84&gt;0,$X84*365/MAX($Q84,1),""))</f>
        <v/>
      </c>
      <c r="Z84" s="18" t="str">
        <f aca="false">IF(OR($C84="",$AA84="Open"),"",IF($M84&lt;&gt;"",$M84,$G84))</f>
        <v/>
      </c>
      <c r="AA84" s="12" t="str">
        <f aca="false">IF($C84="","",IF(OR($L84="Open",$L84=""),"Open","Realized"))</f>
        <v/>
      </c>
    </row>
    <row r="85" customFormat="false" ht="15" hidden="false" customHeight="false" outlineLevel="0" collapsed="false">
      <c r="A85" s="7"/>
      <c r="B85" s="9"/>
      <c r="C85" s="9"/>
      <c r="D85" s="12" t="str">
        <f aca="false">IF($C85="","",IF(OR($C85="Long call",$C85="Covered call"),"Call","Put"))</f>
        <v/>
      </c>
      <c r="E85" s="12" t="str">
        <f aca="false">IF($C85="","",IF(OR($C85="Long call",$C85="Long put"),"Buy to open","Sell to open"))</f>
        <v/>
      </c>
      <c r="F85" s="13"/>
      <c r="G85" s="7"/>
      <c r="H85" s="14"/>
      <c r="I85" s="13"/>
      <c r="J85" s="13"/>
      <c r="K85" s="13"/>
      <c r="L85" s="9"/>
      <c r="M85" s="7"/>
      <c r="N85" s="13"/>
      <c r="O85" s="15" t="str">
        <f aca="false">IF($C85="","",IF($E85="Sell to open",1,-1)*$I85*$E$2*$H85)</f>
        <v/>
      </c>
      <c r="P85" s="15" t="str">
        <f aca="false">IF($C85="","",IF($C85="Long call",$F85+$I85,IF($C85="Covered call",$J85-$I85,$F85-$I85)))</f>
        <v/>
      </c>
      <c r="Q85" s="16" t="str">
        <f aca="false">IF($C85="","",IF($AA85="Open",$B$2,IF($M85&lt;&gt;"",$M85,$G85))-$A85)</f>
        <v/>
      </c>
      <c r="R85" s="16" t="str">
        <f aca="false">IF($C85="","",IF($AA85="Open",MAX($G85-$B$2,0),""))</f>
        <v/>
      </c>
      <c r="S85" s="15" t="str">
        <f aca="false">IF(OR($C85="",$AA85="Open"),"",IF($L85="Closed",-IF($E85="Sell to open",1,-1)*$N85*$E$2*$H85,0))</f>
        <v/>
      </c>
      <c r="T85" s="15" t="str">
        <f aca="false">IF(OR($C85="",$AA85="Open"),"",$O85+$S85-$K85)</f>
        <v/>
      </c>
      <c r="U85" s="15" t="str">
        <f aca="false">IF(OR($C85="",$AA85="Open"),"",IF(AND($C85="Covered call",$L85="Assigned"),($F85-$J85)*$E$2*$H85,0))</f>
        <v/>
      </c>
      <c r="V85" s="15" t="str">
        <f aca="false">IF(OR($C85="",$AA85="Open"),"",$T85+$U85)</f>
        <v/>
      </c>
      <c r="W85" s="15" t="str">
        <f aca="false">IF($C85="","",IF(OR($C85="Long call",$C85="Long put"),$I85*$E$2*$H85,(IF($C85="Covered call",$J85,$F85)-$I85)*$E$2*$H85))</f>
        <v/>
      </c>
      <c r="X85" s="17" t="str">
        <f aca="false">IF(OR($C85="",$AA85="Open"),"",IF($W85&gt;0,$V85/$W85,""))</f>
        <v/>
      </c>
      <c r="Y85" s="17" t="str">
        <f aca="false">IF(OR($C85="",$AA85="Open"),"",IF($W85&gt;0,$X85*365/MAX($Q85,1),""))</f>
        <v/>
      </c>
      <c r="Z85" s="18" t="str">
        <f aca="false">IF(OR($C85="",$AA85="Open"),"",IF($M85&lt;&gt;"",$M85,$G85))</f>
        <v/>
      </c>
      <c r="AA85" s="12" t="str">
        <f aca="false">IF($C85="","",IF(OR($L85="Open",$L85=""),"Open","Realized"))</f>
        <v/>
      </c>
    </row>
    <row r="86" customFormat="false" ht="15" hidden="false" customHeight="false" outlineLevel="0" collapsed="false">
      <c r="A86" s="7"/>
      <c r="B86" s="9"/>
      <c r="C86" s="9"/>
      <c r="D86" s="12" t="str">
        <f aca="false">IF($C86="","",IF(OR($C86="Long call",$C86="Covered call"),"Call","Put"))</f>
        <v/>
      </c>
      <c r="E86" s="12" t="str">
        <f aca="false">IF($C86="","",IF(OR($C86="Long call",$C86="Long put"),"Buy to open","Sell to open"))</f>
        <v/>
      </c>
      <c r="F86" s="13"/>
      <c r="G86" s="7"/>
      <c r="H86" s="14"/>
      <c r="I86" s="13"/>
      <c r="J86" s="13"/>
      <c r="K86" s="13"/>
      <c r="L86" s="9"/>
      <c r="M86" s="7"/>
      <c r="N86" s="13"/>
      <c r="O86" s="15" t="str">
        <f aca="false">IF($C86="","",IF($E86="Sell to open",1,-1)*$I86*$E$2*$H86)</f>
        <v/>
      </c>
      <c r="P86" s="15" t="str">
        <f aca="false">IF($C86="","",IF($C86="Long call",$F86+$I86,IF($C86="Covered call",$J86-$I86,$F86-$I86)))</f>
        <v/>
      </c>
      <c r="Q86" s="16" t="str">
        <f aca="false">IF($C86="","",IF($AA86="Open",$B$2,IF($M86&lt;&gt;"",$M86,$G86))-$A86)</f>
        <v/>
      </c>
      <c r="R86" s="16" t="str">
        <f aca="false">IF($C86="","",IF($AA86="Open",MAX($G86-$B$2,0),""))</f>
        <v/>
      </c>
      <c r="S86" s="15" t="str">
        <f aca="false">IF(OR($C86="",$AA86="Open"),"",IF($L86="Closed",-IF($E86="Sell to open",1,-1)*$N86*$E$2*$H86,0))</f>
        <v/>
      </c>
      <c r="T86" s="15" t="str">
        <f aca="false">IF(OR($C86="",$AA86="Open"),"",$O86+$S86-$K86)</f>
        <v/>
      </c>
      <c r="U86" s="15" t="str">
        <f aca="false">IF(OR($C86="",$AA86="Open"),"",IF(AND($C86="Covered call",$L86="Assigned"),($F86-$J86)*$E$2*$H86,0))</f>
        <v/>
      </c>
      <c r="V86" s="15" t="str">
        <f aca="false">IF(OR($C86="",$AA86="Open"),"",$T86+$U86)</f>
        <v/>
      </c>
      <c r="W86" s="15" t="str">
        <f aca="false">IF($C86="","",IF(OR($C86="Long call",$C86="Long put"),$I86*$E$2*$H86,(IF($C86="Covered call",$J86,$F86)-$I86)*$E$2*$H86))</f>
        <v/>
      </c>
      <c r="X86" s="17" t="str">
        <f aca="false">IF(OR($C86="",$AA86="Open"),"",IF($W86&gt;0,$V86/$W86,""))</f>
        <v/>
      </c>
      <c r="Y86" s="17" t="str">
        <f aca="false">IF(OR($C86="",$AA86="Open"),"",IF($W86&gt;0,$X86*365/MAX($Q86,1),""))</f>
        <v/>
      </c>
      <c r="Z86" s="18" t="str">
        <f aca="false">IF(OR($C86="",$AA86="Open"),"",IF($M86&lt;&gt;"",$M86,$G86))</f>
        <v/>
      </c>
      <c r="AA86" s="12" t="str">
        <f aca="false">IF($C86="","",IF(OR($L86="Open",$L86=""),"Open","Realized"))</f>
        <v/>
      </c>
    </row>
    <row r="87" customFormat="false" ht="15" hidden="false" customHeight="false" outlineLevel="0" collapsed="false">
      <c r="A87" s="7"/>
      <c r="B87" s="9"/>
      <c r="C87" s="9"/>
      <c r="D87" s="12" t="str">
        <f aca="false">IF($C87="","",IF(OR($C87="Long call",$C87="Covered call"),"Call","Put"))</f>
        <v/>
      </c>
      <c r="E87" s="12" t="str">
        <f aca="false">IF($C87="","",IF(OR($C87="Long call",$C87="Long put"),"Buy to open","Sell to open"))</f>
        <v/>
      </c>
      <c r="F87" s="13"/>
      <c r="G87" s="7"/>
      <c r="H87" s="14"/>
      <c r="I87" s="13"/>
      <c r="J87" s="13"/>
      <c r="K87" s="13"/>
      <c r="L87" s="9"/>
      <c r="M87" s="7"/>
      <c r="N87" s="13"/>
      <c r="O87" s="15" t="str">
        <f aca="false">IF($C87="","",IF($E87="Sell to open",1,-1)*$I87*$E$2*$H87)</f>
        <v/>
      </c>
      <c r="P87" s="15" t="str">
        <f aca="false">IF($C87="","",IF($C87="Long call",$F87+$I87,IF($C87="Covered call",$J87-$I87,$F87-$I87)))</f>
        <v/>
      </c>
      <c r="Q87" s="16" t="str">
        <f aca="false">IF($C87="","",IF($AA87="Open",$B$2,IF($M87&lt;&gt;"",$M87,$G87))-$A87)</f>
        <v/>
      </c>
      <c r="R87" s="16" t="str">
        <f aca="false">IF($C87="","",IF($AA87="Open",MAX($G87-$B$2,0),""))</f>
        <v/>
      </c>
      <c r="S87" s="15" t="str">
        <f aca="false">IF(OR($C87="",$AA87="Open"),"",IF($L87="Closed",-IF($E87="Sell to open",1,-1)*$N87*$E$2*$H87,0))</f>
        <v/>
      </c>
      <c r="T87" s="15" t="str">
        <f aca="false">IF(OR($C87="",$AA87="Open"),"",$O87+$S87-$K87)</f>
        <v/>
      </c>
      <c r="U87" s="15" t="str">
        <f aca="false">IF(OR($C87="",$AA87="Open"),"",IF(AND($C87="Covered call",$L87="Assigned"),($F87-$J87)*$E$2*$H87,0))</f>
        <v/>
      </c>
      <c r="V87" s="15" t="str">
        <f aca="false">IF(OR($C87="",$AA87="Open"),"",$T87+$U87)</f>
        <v/>
      </c>
      <c r="W87" s="15" t="str">
        <f aca="false">IF($C87="","",IF(OR($C87="Long call",$C87="Long put"),$I87*$E$2*$H87,(IF($C87="Covered call",$J87,$F87)-$I87)*$E$2*$H87))</f>
        <v/>
      </c>
      <c r="X87" s="17" t="str">
        <f aca="false">IF(OR($C87="",$AA87="Open"),"",IF($W87&gt;0,$V87/$W87,""))</f>
        <v/>
      </c>
      <c r="Y87" s="17" t="str">
        <f aca="false">IF(OR($C87="",$AA87="Open"),"",IF($W87&gt;0,$X87*365/MAX($Q87,1),""))</f>
        <v/>
      </c>
      <c r="Z87" s="18" t="str">
        <f aca="false">IF(OR($C87="",$AA87="Open"),"",IF($M87&lt;&gt;"",$M87,$G87))</f>
        <v/>
      </c>
      <c r="AA87" s="12" t="str">
        <f aca="false">IF($C87="","",IF(OR($L87="Open",$L87=""),"Open","Realized"))</f>
        <v/>
      </c>
    </row>
    <row r="88" customFormat="false" ht="15" hidden="false" customHeight="false" outlineLevel="0" collapsed="false">
      <c r="A88" s="7"/>
      <c r="B88" s="9"/>
      <c r="C88" s="9"/>
      <c r="D88" s="12" t="str">
        <f aca="false">IF($C88="","",IF(OR($C88="Long call",$C88="Covered call"),"Call","Put"))</f>
        <v/>
      </c>
      <c r="E88" s="12" t="str">
        <f aca="false">IF($C88="","",IF(OR($C88="Long call",$C88="Long put"),"Buy to open","Sell to open"))</f>
        <v/>
      </c>
      <c r="F88" s="13"/>
      <c r="G88" s="7"/>
      <c r="H88" s="14"/>
      <c r="I88" s="13"/>
      <c r="J88" s="13"/>
      <c r="K88" s="13"/>
      <c r="L88" s="9"/>
      <c r="M88" s="7"/>
      <c r="N88" s="13"/>
      <c r="O88" s="15" t="str">
        <f aca="false">IF($C88="","",IF($E88="Sell to open",1,-1)*$I88*$E$2*$H88)</f>
        <v/>
      </c>
      <c r="P88" s="15" t="str">
        <f aca="false">IF($C88="","",IF($C88="Long call",$F88+$I88,IF($C88="Covered call",$J88-$I88,$F88-$I88)))</f>
        <v/>
      </c>
      <c r="Q88" s="16" t="str">
        <f aca="false">IF($C88="","",IF($AA88="Open",$B$2,IF($M88&lt;&gt;"",$M88,$G88))-$A88)</f>
        <v/>
      </c>
      <c r="R88" s="16" t="str">
        <f aca="false">IF($C88="","",IF($AA88="Open",MAX($G88-$B$2,0),""))</f>
        <v/>
      </c>
      <c r="S88" s="15" t="str">
        <f aca="false">IF(OR($C88="",$AA88="Open"),"",IF($L88="Closed",-IF($E88="Sell to open",1,-1)*$N88*$E$2*$H88,0))</f>
        <v/>
      </c>
      <c r="T88" s="15" t="str">
        <f aca="false">IF(OR($C88="",$AA88="Open"),"",$O88+$S88-$K88)</f>
        <v/>
      </c>
      <c r="U88" s="15" t="str">
        <f aca="false">IF(OR($C88="",$AA88="Open"),"",IF(AND($C88="Covered call",$L88="Assigned"),($F88-$J88)*$E$2*$H88,0))</f>
        <v/>
      </c>
      <c r="V88" s="15" t="str">
        <f aca="false">IF(OR($C88="",$AA88="Open"),"",$T88+$U88)</f>
        <v/>
      </c>
      <c r="W88" s="15" t="str">
        <f aca="false">IF($C88="","",IF(OR($C88="Long call",$C88="Long put"),$I88*$E$2*$H88,(IF($C88="Covered call",$J88,$F88)-$I88)*$E$2*$H88))</f>
        <v/>
      </c>
      <c r="X88" s="17" t="str">
        <f aca="false">IF(OR($C88="",$AA88="Open"),"",IF($W88&gt;0,$V88/$W88,""))</f>
        <v/>
      </c>
      <c r="Y88" s="17" t="str">
        <f aca="false">IF(OR($C88="",$AA88="Open"),"",IF($W88&gt;0,$X88*365/MAX($Q88,1),""))</f>
        <v/>
      </c>
      <c r="Z88" s="18" t="str">
        <f aca="false">IF(OR($C88="",$AA88="Open"),"",IF($M88&lt;&gt;"",$M88,$G88))</f>
        <v/>
      </c>
      <c r="AA88" s="12" t="str">
        <f aca="false">IF($C88="","",IF(OR($L88="Open",$L88=""),"Open","Realized"))</f>
        <v/>
      </c>
    </row>
    <row r="89" customFormat="false" ht="15" hidden="false" customHeight="false" outlineLevel="0" collapsed="false">
      <c r="A89" s="7"/>
      <c r="B89" s="9"/>
      <c r="C89" s="9"/>
      <c r="D89" s="12" t="str">
        <f aca="false">IF($C89="","",IF(OR($C89="Long call",$C89="Covered call"),"Call","Put"))</f>
        <v/>
      </c>
      <c r="E89" s="12" t="str">
        <f aca="false">IF($C89="","",IF(OR($C89="Long call",$C89="Long put"),"Buy to open","Sell to open"))</f>
        <v/>
      </c>
      <c r="F89" s="13"/>
      <c r="G89" s="7"/>
      <c r="H89" s="14"/>
      <c r="I89" s="13"/>
      <c r="J89" s="13"/>
      <c r="K89" s="13"/>
      <c r="L89" s="9"/>
      <c r="M89" s="7"/>
      <c r="N89" s="13"/>
      <c r="O89" s="15" t="str">
        <f aca="false">IF($C89="","",IF($E89="Sell to open",1,-1)*$I89*$E$2*$H89)</f>
        <v/>
      </c>
      <c r="P89" s="15" t="str">
        <f aca="false">IF($C89="","",IF($C89="Long call",$F89+$I89,IF($C89="Covered call",$J89-$I89,$F89-$I89)))</f>
        <v/>
      </c>
      <c r="Q89" s="16" t="str">
        <f aca="false">IF($C89="","",IF($AA89="Open",$B$2,IF($M89&lt;&gt;"",$M89,$G89))-$A89)</f>
        <v/>
      </c>
      <c r="R89" s="16" t="str">
        <f aca="false">IF($C89="","",IF($AA89="Open",MAX($G89-$B$2,0),""))</f>
        <v/>
      </c>
      <c r="S89" s="15" t="str">
        <f aca="false">IF(OR($C89="",$AA89="Open"),"",IF($L89="Closed",-IF($E89="Sell to open",1,-1)*$N89*$E$2*$H89,0))</f>
        <v/>
      </c>
      <c r="T89" s="15" t="str">
        <f aca="false">IF(OR($C89="",$AA89="Open"),"",$O89+$S89-$K89)</f>
        <v/>
      </c>
      <c r="U89" s="15" t="str">
        <f aca="false">IF(OR($C89="",$AA89="Open"),"",IF(AND($C89="Covered call",$L89="Assigned"),($F89-$J89)*$E$2*$H89,0))</f>
        <v/>
      </c>
      <c r="V89" s="15" t="str">
        <f aca="false">IF(OR($C89="",$AA89="Open"),"",$T89+$U89)</f>
        <v/>
      </c>
      <c r="W89" s="15" t="str">
        <f aca="false">IF($C89="","",IF(OR($C89="Long call",$C89="Long put"),$I89*$E$2*$H89,(IF($C89="Covered call",$J89,$F89)-$I89)*$E$2*$H89))</f>
        <v/>
      </c>
      <c r="X89" s="17" t="str">
        <f aca="false">IF(OR($C89="",$AA89="Open"),"",IF($W89&gt;0,$V89/$W89,""))</f>
        <v/>
      </c>
      <c r="Y89" s="17" t="str">
        <f aca="false">IF(OR($C89="",$AA89="Open"),"",IF($W89&gt;0,$X89*365/MAX($Q89,1),""))</f>
        <v/>
      </c>
      <c r="Z89" s="18" t="str">
        <f aca="false">IF(OR($C89="",$AA89="Open"),"",IF($M89&lt;&gt;"",$M89,$G89))</f>
        <v/>
      </c>
      <c r="AA89" s="12" t="str">
        <f aca="false">IF($C89="","",IF(OR($L89="Open",$L89=""),"Open","Realized"))</f>
        <v/>
      </c>
    </row>
    <row r="90" customFormat="false" ht="15" hidden="false" customHeight="false" outlineLevel="0" collapsed="false">
      <c r="A90" s="7"/>
      <c r="B90" s="9"/>
      <c r="C90" s="9"/>
      <c r="D90" s="12" t="str">
        <f aca="false">IF($C90="","",IF(OR($C90="Long call",$C90="Covered call"),"Call","Put"))</f>
        <v/>
      </c>
      <c r="E90" s="12" t="str">
        <f aca="false">IF($C90="","",IF(OR($C90="Long call",$C90="Long put"),"Buy to open","Sell to open"))</f>
        <v/>
      </c>
      <c r="F90" s="13"/>
      <c r="G90" s="7"/>
      <c r="H90" s="14"/>
      <c r="I90" s="13"/>
      <c r="J90" s="13"/>
      <c r="K90" s="13"/>
      <c r="L90" s="9"/>
      <c r="M90" s="7"/>
      <c r="N90" s="13"/>
      <c r="O90" s="15" t="str">
        <f aca="false">IF($C90="","",IF($E90="Sell to open",1,-1)*$I90*$E$2*$H90)</f>
        <v/>
      </c>
      <c r="P90" s="15" t="str">
        <f aca="false">IF($C90="","",IF($C90="Long call",$F90+$I90,IF($C90="Covered call",$J90-$I90,$F90-$I90)))</f>
        <v/>
      </c>
      <c r="Q90" s="16" t="str">
        <f aca="false">IF($C90="","",IF($AA90="Open",$B$2,IF($M90&lt;&gt;"",$M90,$G90))-$A90)</f>
        <v/>
      </c>
      <c r="R90" s="16" t="str">
        <f aca="false">IF($C90="","",IF($AA90="Open",MAX($G90-$B$2,0),""))</f>
        <v/>
      </c>
      <c r="S90" s="15" t="str">
        <f aca="false">IF(OR($C90="",$AA90="Open"),"",IF($L90="Closed",-IF($E90="Sell to open",1,-1)*$N90*$E$2*$H90,0))</f>
        <v/>
      </c>
      <c r="T90" s="15" t="str">
        <f aca="false">IF(OR($C90="",$AA90="Open"),"",$O90+$S90-$K90)</f>
        <v/>
      </c>
      <c r="U90" s="15" t="str">
        <f aca="false">IF(OR($C90="",$AA90="Open"),"",IF(AND($C90="Covered call",$L90="Assigned"),($F90-$J90)*$E$2*$H90,0))</f>
        <v/>
      </c>
      <c r="V90" s="15" t="str">
        <f aca="false">IF(OR($C90="",$AA90="Open"),"",$T90+$U90)</f>
        <v/>
      </c>
      <c r="W90" s="15" t="str">
        <f aca="false">IF($C90="","",IF(OR($C90="Long call",$C90="Long put"),$I90*$E$2*$H90,(IF($C90="Covered call",$J90,$F90)-$I90)*$E$2*$H90))</f>
        <v/>
      </c>
      <c r="X90" s="17" t="str">
        <f aca="false">IF(OR($C90="",$AA90="Open"),"",IF($W90&gt;0,$V90/$W90,""))</f>
        <v/>
      </c>
      <c r="Y90" s="17" t="str">
        <f aca="false">IF(OR($C90="",$AA90="Open"),"",IF($W90&gt;0,$X90*365/MAX($Q90,1),""))</f>
        <v/>
      </c>
      <c r="Z90" s="18" t="str">
        <f aca="false">IF(OR($C90="",$AA90="Open"),"",IF($M90&lt;&gt;"",$M90,$G90))</f>
        <v/>
      </c>
      <c r="AA90" s="12" t="str">
        <f aca="false">IF($C90="","",IF(OR($L90="Open",$L90=""),"Open","Realized"))</f>
        <v/>
      </c>
    </row>
    <row r="91" customFormat="false" ht="15" hidden="false" customHeight="false" outlineLevel="0" collapsed="false">
      <c r="A91" s="7"/>
      <c r="B91" s="9"/>
      <c r="C91" s="9"/>
      <c r="D91" s="12" t="str">
        <f aca="false">IF($C91="","",IF(OR($C91="Long call",$C91="Covered call"),"Call","Put"))</f>
        <v/>
      </c>
      <c r="E91" s="12" t="str">
        <f aca="false">IF($C91="","",IF(OR($C91="Long call",$C91="Long put"),"Buy to open","Sell to open"))</f>
        <v/>
      </c>
      <c r="F91" s="13"/>
      <c r="G91" s="7"/>
      <c r="H91" s="14"/>
      <c r="I91" s="13"/>
      <c r="J91" s="13"/>
      <c r="K91" s="13"/>
      <c r="L91" s="9"/>
      <c r="M91" s="7"/>
      <c r="N91" s="13"/>
      <c r="O91" s="15" t="str">
        <f aca="false">IF($C91="","",IF($E91="Sell to open",1,-1)*$I91*$E$2*$H91)</f>
        <v/>
      </c>
      <c r="P91" s="15" t="str">
        <f aca="false">IF($C91="","",IF($C91="Long call",$F91+$I91,IF($C91="Covered call",$J91-$I91,$F91-$I91)))</f>
        <v/>
      </c>
      <c r="Q91" s="16" t="str">
        <f aca="false">IF($C91="","",IF($AA91="Open",$B$2,IF($M91&lt;&gt;"",$M91,$G91))-$A91)</f>
        <v/>
      </c>
      <c r="R91" s="16" t="str">
        <f aca="false">IF($C91="","",IF($AA91="Open",MAX($G91-$B$2,0),""))</f>
        <v/>
      </c>
      <c r="S91" s="15" t="str">
        <f aca="false">IF(OR($C91="",$AA91="Open"),"",IF($L91="Closed",-IF($E91="Sell to open",1,-1)*$N91*$E$2*$H91,0))</f>
        <v/>
      </c>
      <c r="T91" s="15" t="str">
        <f aca="false">IF(OR($C91="",$AA91="Open"),"",$O91+$S91-$K91)</f>
        <v/>
      </c>
      <c r="U91" s="15" t="str">
        <f aca="false">IF(OR($C91="",$AA91="Open"),"",IF(AND($C91="Covered call",$L91="Assigned"),($F91-$J91)*$E$2*$H91,0))</f>
        <v/>
      </c>
      <c r="V91" s="15" t="str">
        <f aca="false">IF(OR($C91="",$AA91="Open"),"",$T91+$U91)</f>
        <v/>
      </c>
      <c r="W91" s="15" t="str">
        <f aca="false">IF($C91="","",IF(OR($C91="Long call",$C91="Long put"),$I91*$E$2*$H91,(IF($C91="Covered call",$J91,$F91)-$I91)*$E$2*$H91))</f>
        <v/>
      </c>
      <c r="X91" s="17" t="str">
        <f aca="false">IF(OR($C91="",$AA91="Open"),"",IF($W91&gt;0,$V91/$W91,""))</f>
        <v/>
      </c>
      <c r="Y91" s="17" t="str">
        <f aca="false">IF(OR($C91="",$AA91="Open"),"",IF($W91&gt;0,$X91*365/MAX($Q91,1),""))</f>
        <v/>
      </c>
      <c r="Z91" s="18" t="str">
        <f aca="false">IF(OR($C91="",$AA91="Open"),"",IF($M91&lt;&gt;"",$M91,$G91))</f>
        <v/>
      </c>
      <c r="AA91" s="12" t="str">
        <f aca="false">IF($C91="","",IF(OR($L91="Open",$L91=""),"Open","Realized"))</f>
        <v/>
      </c>
    </row>
    <row r="92" customFormat="false" ht="15" hidden="false" customHeight="false" outlineLevel="0" collapsed="false">
      <c r="A92" s="7"/>
      <c r="B92" s="9"/>
      <c r="C92" s="9"/>
      <c r="D92" s="12" t="str">
        <f aca="false">IF($C92="","",IF(OR($C92="Long call",$C92="Covered call"),"Call","Put"))</f>
        <v/>
      </c>
      <c r="E92" s="12" t="str">
        <f aca="false">IF($C92="","",IF(OR($C92="Long call",$C92="Long put"),"Buy to open","Sell to open"))</f>
        <v/>
      </c>
      <c r="F92" s="13"/>
      <c r="G92" s="7"/>
      <c r="H92" s="14"/>
      <c r="I92" s="13"/>
      <c r="J92" s="13"/>
      <c r="K92" s="13"/>
      <c r="L92" s="9"/>
      <c r="M92" s="7"/>
      <c r="N92" s="13"/>
      <c r="O92" s="15" t="str">
        <f aca="false">IF($C92="","",IF($E92="Sell to open",1,-1)*$I92*$E$2*$H92)</f>
        <v/>
      </c>
      <c r="P92" s="15" t="str">
        <f aca="false">IF($C92="","",IF($C92="Long call",$F92+$I92,IF($C92="Covered call",$J92-$I92,$F92-$I92)))</f>
        <v/>
      </c>
      <c r="Q92" s="16" t="str">
        <f aca="false">IF($C92="","",IF($AA92="Open",$B$2,IF($M92&lt;&gt;"",$M92,$G92))-$A92)</f>
        <v/>
      </c>
      <c r="R92" s="16" t="str">
        <f aca="false">IF($C92="","",IF($AA92="Open",MAX($G92-$B$2,0),""))</f>
        <v/>
      </c>
      <c r="S92" s="15" t="str">
        <f aca="false">IF(OR($C92="",$AA92="Open"),"",IF($L92="Closed",-IF($E92="Sell to open",1,-1)*$N92*$E$2*$H92,0))</f>
        <v/>
      </c>
      <c r="T92" s="15" t="str">
        <f aca="false">IF(OR($C92="",$AA92="Open"),"",$O92+$S92-$K92)</f>
        <v/>
      </c>
      <c r="U92" s="15" t="str">
        <f aca="false">IF(OR($C92="",$AA92="Open"),"",IF(AND($C92="Covered call",$L92="Assigned"),($F92-$J92)*$E$2*$H92,0))</f>
        <v/>
      </c>
      <c r="V92" s="15" t="str">
        <f aca="false">IF(OR($C92="",$AA92="Open"),"",$T92+$U92)</f>
        <v/>
      </c>
      <c r="W92" s="15" t="str">
        <f aca="false">IF($C92="","",IF(OR($C92="Long call",$C92="Long put"),$I92*$E$2*$H92,(IF($C92="Covered call",$J92,$F92)-$I92)*$E$2*$H92))</f>
        <v/>
      </c>
      <c r="X92" s="17" t="str">
        <f aca="false">IF(OR($C92="",$AA92="Open"),"",IF($W92&gt;0,$V92/$W92,""))</f>
        <v/>
      </c>
      <c r="Y92" s="17" t="str">
        <f aca="false">IF(OR($C92="",$AA92="Open"),"",IF($W92&gt;0,$X92*365/MAX($Q92,1),""))</f>
        <v/>
      </c>
      <c r="Z92" s="18" t="str">
        <f aca="false">IF(OR($C92="",$AA92="Open"),"",IF($M92&lt;&gt;"",$M92,$G92))</f>
        <v/>
      </c>
      <c r="AA92" s="12" t="str">
        <f aca="false">IF($C92="","",IF(OR($L92="Open",$L92=""),"Open","Realized"))</f>
        <v/>
      </c>
    </row>
    <row r="93" customFormat="false" ht="15" hidden="false" customHeight="false" outlineLevel="0" collapsed="false">
      <c r="A93" s="7"/>
      <c r="B93" s="9"/>
      <c r="C93" s="9"/>
      <c r="D93" s="12" t="str">
        <f aca="false">IF($C93="","",IF(OR($C93="Long call",$C93="Covered call"),"Call","Put"))</f>
        <v/>
      </c>
      <c r="E93" s="12" t="str">
        <f aca="false">IF($C93="","",IF(OR($C93="Long call",$C93="Long put"),"Buy to open","Sell to open"))</f>
        <v/>
      </c>
      <c r="F93" s="13"/>
      <c r="G93" s="7"/>
      <c r="H93" s="14"/>
      <c r="I93" s="13"/>
      <c r="J93" s="13"/>
      <c r="K93" s="13"/>
      <c r="L93" s="9"/>
      <c r="M93" s="7"/>
      <c r="N93" s="13"/>
      <c r="O93" s="15" t="str">
        <f aca="false">IF($C93="","",IF($E93="Sell to open",1,-1)*$I93*$E$2*$H93)</f>
        <v/>
      </c>
      <c r="P93" s="15" t="str">
        <f aca="false">IF($C93="","",IF($C93="Long call",$F93+$I93,IF($C93="Covered call",$J93-$I93,$F93-$I93)))</f>
        <v/>
      </c>
      <c r="Q93" s="16" t="str">
        <f aca="false">IF($C93="","",IF($AA93="Open",$B$2,IF($M93&lt;&gt;"",$M93,$G93))-$A93)</f>
        <v/>
      </c>
      <c r="R93" s="16" t="str">
        <f aca="false">IF($C93="","",IF($AA93="Open",MAX($G93-$B$2,0),""))</f>
        <v/>
      </c>
      <c r="S93" s="15" t="str">
        <f aca="false">IF(OR($C93="",$AA93="Open"),"",IF($L93="Closed",-IF($E93="Sell to open",1,-1)*$N93*$E$2*$H93,0))</f>
        <v/>
      </c>
      <c r="T93" s="15" t="str">
        <f aca="false">IF(OR($C93="",$AA93="Open"),"",$O93+$S93-$K93)</f>
        <v/>
      </c>
      <c r="U93" s="15" t="str">
        <f aca="false">IF(OR($C93="",$AA93="Open"),"",IF(AND($C93="Covered call",$L93="Assigned"),($F93-$J93)*$E$2*$H93,0))</f>
        <v/>
      </c>
      <c r="V93" s="15" t="str">
        <f aca="false">IF(OR($C93="",$AA93="Open"),"",$T93+$U93)</f>
        <v/>
      </c>
      <c r="W93" s="15" t="str">
        <f aca="false">IF($C93="","",IF(OR($C93="Long call",$C93="Long put"),$I93*$E$2*$H93,(IF($C93="Covered call",$J93,$F93)-$I93)*$E$2*$H93))</f>
        <v/>
      </c>
      <c r="X93" s="17" t="str">
        <f aca="false">IF(OR($C93="",$AA93="Open"),"",IF($W93&gt;0,$V93/$W93,""))</f>
        <v/>
      </c>
      <c r="Y93" s="17" t="str">
        <f aca="false">IF(OR($C93="",$AA93="Open"),"",IF($W93&gt;0,$X93*365/MAX($Q93,1),""))</f>
        <v/>
      </c>
      <c r="Z93" s="18" t="str">
        <f aca="false">IF(OR($C93="",$AA93="Open"),"",IF($M93&lt;&gt;"",$M93,$G93))</f>
        <v/>
      </c>
      <c r="AA93" s="12" t="str">
        <f aca="false">IF($C93="","",IF(OR($L93="Open",$L93=""),"Open","Realized"))</f>
        <v/>
      </c>
    </row>
    <row r="94" customFormat="false" ht="15" hidden="false" customHeight="false" outlineLevel="0" collapsed="false">
      <c r="A94" s="7"/>
      <c r="B94" s="9"/>
      <c r="C94" s="9"/>
      <c r="D94" s="12" t="str">
        <f aca="false">IF($C94="","",IF(OR($C94="Long call",$C94="Covered call"),"Call","Put"))</f>
        <v/>
      </c>
      <c r="E94" s="12" t="str">
        <f aca="false">IF($C94="","",IF(OR($C94="Long call",$C94="Long put"),"Buy to open","Sell to open"))</f>
        <v/>
      </c>
      <c r="F94" s="13"/>
      <c r="G94" s="7"/>
      <c r="H94" s="14"/>
      <c r="I94" s="13"/>
      <c r="J94" s="13"/>
      <c r="K94" s="13"/>
      <c r="L94" s="9"/>
      <c r="M94" s="7"/>
      <c r="N94" s="13"/>
      <c r="O94" s="15" t="str">
        <f aca="false">IF($C94="","",IF($E94="Sell to open",1,-1)*$I94*$E$2*$H94)</f>
        <v/>
      </c>
      <c r="P94" s="15" t="str">
        <f aca="false">IF($C94="","",IF($C94="Long call",$F94+$I94,IF($C94="Covered call",$J94-$I94,$F94-$I94)))</f>
        <v/>
      </c>
      <c r="Q94" s="16" t="str">
        <f aca="false">IF($C94="","",IF($AA94="Open",$B$2,IF($M94&lt;&gt;"",$M94,$G94))-$A94)</f>
        <v/>
      </c>
      <c r="R94" s="16" t="str">
        <f aca="false">IF($C94="","",IF($AA94="Open",MAX($G94-$B$2,0),""))</f>
        <v/>
      </c>
      <c r="S94" s="15" t="str">
        <f aca="false">IF(OR($C94="",$AA94="Open"),"",IF($L94="Closed",-IF($E94="Sell to open",1,-1)*$N94*$E$2*$H94,0))</f>
        <v/>
      </c>
      <c r="T94" s="15" t="str">
        <f aca="false">IF(OR($C94="",$AA94="Open"),"",$O94+$S94-$K94)</f>
        <v/>
      </c>
      <c r="U94" s="15" t="str">
        <f aca="false">IF(OR($C94="",$AA94="Open"),"",IF(AND($C94="Covered call",$L94="Assigned"),($F94-$J94)*$E$2*$H94,0))</f>
        <v/>
      </c>
      <c r="V94" s="15" t="str">
        <f aca="false">IF(OR($C94="",$AA94="Open"),"",$T94+$U94)</f>
        <v/>
      </c>
      <c r="W94" s="15" t="str">
        <f aca="false">IF($C94="","",IF(OR($C94="Long call",$C94="Long put"),$I94*$E$2*$H94,(IF($C94="Covered call",$J94,$F94)-$I94)*$E$2*$H94))</f>
        <v/>
      </c>
      <c r="X94" s="17" t="str">
        <f aca="false">IF(OR($C94="",$AA94="Open"),"",IF($W94&gt;0,$V94/$W94,""))</f>
        <v/>
      </c>
      <c r="Y94" s="17" t="str">
        <f aca="false">IF(OR($C94="",$AA94="Open"),"",IF($W94&gt;0,$X94*365/MAX($Q94,1),""))</f>
        <v/>
      </c>
      <c r="Z94" s="18" t="str">
        <f aca="false">IF(OR($C94="",$AA94="Open"),"",IF($M94&lt;&gt;"",$M94,$G94))</f>
        <v/>
      </c>
      <c r="AA94" s="12" t="str">
        <f aca="false">IF($C94="","",IF(OR($L94="Open",$L94=""),"Open","Realized"))</f>
        <v/>
      </c>
    </row>
    <row r="95" customFormat="false" ht="15" hidden="false" customHeight="false" outlineLevel="0" collapsed="false">
      <c r="A95" s="7"/>
      <c r="B95" s="9"/>
      <c r="C95" s="9"/>
      <c r="D95" s="12" t="str">
        <f aca="false">IF($C95="","",IF(OR($C95="Long call",$C95="Covered call"),"Call","Put"))</f>
        <v/>
      </c>
      <c r="E95" s="12" t="str">
        <f aca="false">IF($C95="","",IF(OR($C95="Long call",$C95="Long put"),"Buy to open","Sell to open"))</f>
        <v/>
      </c>
      <c r="F95" s="13"/>
      <c r="G95" s="7"/>
      <c r="H95" s="14"/>
      <c r="I95" s="13"/>
      <c r="J95" s="13"/>
      <c r="K95" s="13"/>
      <c r="L95" s="9"/>
      <c r="M95" s="7"/>
      <c r="N95" s="13"/>
      <c r="O95" s="15" t="str">
        <f aca="false">IF($C95="","",IF($E95="Sell to open",1,-1)*$I95*$E$2*$H95)</f>
        <v/>
      </c>
      <c r="P95" s="15" t="str">
        <f aca="false">IF($C95="","",IF($C95="Long call",$F95+$I95,IF($C95="Covered call",$J95-$I95,$F95-$I95)))</f>
        <v/>
      </c>
      <c r="Q95" s="16" t="str">
        <f aca="false">IF($C95="","",IF($AA95="Open",$B$2,IF($M95&lt;&gt;"",$M95,$G95))-$A95)</f>
        <v/>
      </c>
      <c r="R95" s="16" t="str">
        <f aca="false">IF($C95="","",IF($AA95="Open",MAX($G95-$B$2,0),""))</f>
        <v/>
      </c>
      <c r="S95" s="15" t="str">
        <f aca="false">IF(OR($C95="",$AA95="Open"),"",IF($L95="Closed",-IF($E95="Sell to open",1,-1)*$N95*$E$2*$H95,0))</f>
        <v/>
      </c>
      <c r="T95" s="15" t="str">
        <f aca="false">IF(OR($C95="",$AA95="Open"),"",$O95+$S95-$K95)</f>
        <v/>
      </c>
      <c r="U95" s="15" t="str">
        <f aca="false">IF(OR($C95="",$AA95="Open"),"",IF(AND($C95="Covered call",$L95="Assigned"),($F95-$J95)*$E$2*$H95,0))</f>
        <v/>
      </c>
      <c r="V95" s="15" t="str">
        <f aca="false">IF(OR($C95="",$AA95="Open"),"",$T95+$U95)</f>
        <v/>
      </c>
      <c r="W95" s="15" t="str">
        <f aca="false">IF($C95="","",IF(OR($C95="Long call",$C95="Long put"),$I95*$E$2*$H95,(IF($C95="Covered call",$J95,$F95)-$I95)*$E$2*$H95))</f>
        <v/>
      </c>
      <c r="X95" s="17" t="str">
        <f aca="false">IF(OR($C95="",$AA95="Open"),"",IF($W95&gt;0,$V95/$W95,""))</f>
        <v/>
      </c>
      <c r="Y95" s="17" t="str">
        <f aca="false">IF(OR($C95="",$AA95="Open"),"",IF($W95&gt;0,$X95*365/MAX($Q95,1),""))</f>
        <v/>
      </c>
      <c r="Z95" s="18" t="str">
        <f aca="false">IF(OR($C95="",$AA95="Open"),"",IF($M95&lt;&gt;"",$M95,$G95))</f>
        <v/>
      </c>
      <c r="AA95" s="12" t="str">
        <f aca="false">IF($C95="","",IF(OR($L95="Open",$L95=""),"Open","Realized"))</f>
        <v/>
      </c>
    </row>
    <row r="96" customFormat="false" ht="15" hidden="false" customHeight="false" outlineLevel="0" collapsed="false">
      <c r="A96" s="7"/>
      <c r="B96" s="9"/>
      <c r="C96" s="9"/>
      <c r="D96" s="12" t="str">
        <f aca="false">IF($C96="","",IF(OR($C96="Long call",$C96="Covered call"),"Call","Put"))</f>
        <v/>
      </c>
      <c r="E96" s="12" t="str">
        <f aca="false">IF($C96="","",IF(OR($C96="Long call",$C96="Long put"),"Buy to open","Sell to open"))</f>
        <v/>
      </c>
      <c r="F96" s="13"/>
      <c r="G96" s="7"/>
      <c r="H96" s="14"/>
      <c r="I96" s="13"/>
      <c r="J96" s="13"/>
      <c r="K96" s="13"/>
      <c r="L96" s="9"/>
      <c r="M96" s="7"/>
      <c r="N96" s="13"/>
      <c r="O96" s="15" t="str">
        <f aca="false">IF($C96="","",IF($E96="Sell to open",1,-1)*$I96*$E$2*$H96)</f>
        <v/>
      </c>
      <c r="P96" s="15" t="str">
        <f aca="false">IF($C96="","",IF($C96="Long call",$F96+$I96,IF($C96="Covered call",$J96-$I96,$F96-$I96)))</f>
        <v/>
      </c>
      <c r="Q96" s="16" t="str">
        <f aca="false">IF($C96="","",IF($AA96="Open",$B$2,IF($M96&lt;&gt;"",$M96,$G96))-$A96)</f>
        <v/>
      </c>
      <c r="R96" s="16" t="str">
        <f aca="false">IF($C96="","",IF($AA96="Open",MAX($G96-$B$2,0),""))</f>
        <v/>
      </c>
      <c r="S96" s="15" t="str">
        <f aca="false">IF(OR($C96="",$AA96="Open"),"",IF($L96="Closed",-IF($E96="Sell to open",1,-1)*$N96*$E$2*$H96,0))</f>
        <v/>
      </c>
      <c r="T96" s="15" t="str">
        <f aca="false">IF(OR($C96="",$AA96="Open"),"",$O96+$S96-$K96)</f>
        <v/>
      </c>
      <c r="U96" s="15" t="str">
        <f aca="false">IF(OR($C96="",$AA96="Open"),"",IF(AND($C96="Covered call",$L96="Assigned"),($F96-$J96)*$E$2*$H96,0))</f>
        <v/>
      </c>
      <c r="V96" s="15" t="str">
        <f aca="false">IF(OR($C96="",$AA96="Open"),"",$T96+$U96)</f>
        <v/>
      </c>
      <c r="W96" s="15" t="str">
        <f aca="false">IF($C96="","",IF(OR($C96="Long call",$C96="Long put"),$I96*$E$2*$H96,(IF($C96="Covered call",$J96,$F96)-$I96)*$E$2*$H96))</f>
        <v/>
      </c>
      <c r="X96" s="17" t="str">
        <f aca="false">IF(OR($C96="",$AA96="Open"),"",IF($W96&gt;0,$V96/$W96,""))</f>
        <v/>
      </c>
      <c r="Y96" s="17" t="str">
        <f aca="false">IF(OR($C96="",$AA96="Open"),"",IF($W96&gt;0,$X96*365/MAX($Q96,1),""))</f>
        <v/>
      </c>
      <c r="Z96" s="18" t="str">
        <f aca="false">IF(OR($C96="",$AA96="Open"),"",IF($M96&lt;&gt;"",$M96,$G96))</f>
        <v/>
      </c>
      <c r="AA96" s="12" t="str">
        <f aca="false">IF($C96="","",IF(OR($L96="Open",$L96=""),"Open","Realized"))</f>
        <v/>
      </c>
    </row>
    <row r="97" customFormat="false" ht="15" hidden="false" customHeight="false" outlineLevel="0" collapsed="false">
      <c r="A97" s="7"/>
      <c r="B97" s="9"/>
      <c r="C97" s="9"/>
      <c r="D97" s="12" t="str">
        <f aca="false">IF($C97="","",IF(OR($C97="Long call",$C97="Covered call"),"Call","Put"))</f>
        <v/>
      </c>
      <c r="E97" s="12" t="str">
        <f aca="false">IF($C97="","",IF(OR($C97="Long call",$C97="Long put"),"Buy to open","Sell to open"))</f>
        <v/>
      </c>
      <c r="F97" s="13"/>
      <c r="G97" s="7"/>
      <c r="H97" s="14"/>
      <c r="I97" s="13"/>
      <c r="J97" s="13"/>
      <c r="K97" s="13"/>
      <c r="L97" s="9"/>
      <c r="M97" s="7"/>
      <c r="N97" s="13"/>
      <c r="O97" s="15" t="str">
        <f aca="false">IF($C97="","",IF($E97="Sell to open",1,-1)*$I97*$E$2*$H97)</f>
        <v/>
      </c>
      <c r="P97" s="15" t="str">
        <f aca="false">IF($C97="","",IF($C97="Long call",$F97+$I97,IF($C97="Covered call",$J97-$I97,$F97-$I97)))</f>
        <v/>
      </c>
      <c r="Q97" s="16" t="str">
        <f aca="false">IF($C97="","",IF($AA97="Open",$B$2,IF($M97&lt;&gt;"",$M97,$G97))-$A97)</f>
        <v/>
      </c>
      <c r="R97" s="16" t="str">
        <f aca="false">IF($C97="","",IF($AA97="Open",MAX($G97-$B$2,0),""))</f>
        <v/>
      </c>
      <c r="S97" s="15" t="str">
        <f aca="false">IF(OR($C97="",$AA97="Open"),"",IF($L97="Closed",-IF($E97="Sell to open",1,-1)*$N97*$E$2*$H97,0))</f>
        <v/>
      </c>
      <c r="T97" s="15" t="str">
        <f aca="false">IF(OR($C97="",$AA97="Open"),"",$O97+$S97-$K97)</f>
        <v/>
      </c>
      <c r="U97" s="15" t="str">
        <f aca="false">IF(OR($C97="",$AA97="Open"),"",IF(AND($C97="Covered call",$L97="Assigned"),($F97-$J97)*$E$2*$H97,0))</f>
        <v/>
      </c>
      <c r="V97" s="15" t="str">
        <f aca="false">IF(OR($C97="",$AA97="Open"),"",$T97+$U97)</f>
        <v/>
      </c>
      <c r="W97" s="15" t="str">
        <f aca="false">IF($C97="","",IF(OR($C97="Long call",$C97="Long put"),$I97*$E$2*$H97,(IF($C97="Covered call",$J97,$F97)-$I97)*$E$2*$H97))</f>
        <v/>
      </c>
      <c r="X97" s="17" t="str">
        <f aca="false">IF(OR($C97="",$AA97="Open"),"",IF($W97&gt;0,$V97/$W97,""))</f>
        <v/>
      </c>
      <c r="Y97" s="17" t="str">
        <f aca="false">IF(OR($C97="",$AA97="Open"),"",IF($W97&gt;0,$X97*365/MAX($Q97,1),""))</f>
        <v/>
      </c>
      <c r="Z97" s="18" t="str">
        <f aca="false">IF(OR($C97="",$AA97="Open"),"",IF($M97&lt;&gt;"",$M97,$G97))</f>
        <v/>
      </c>
      <c r="AA97" s="12" t="str">
        <f aca="false">IF($C97="","",IF(OR($L97="Open",$L97=""),"Open","Realized"))</f>
        <v/>
      </c>
    </row>
    <row r="98" customFormat="false" ht="15" hidden="false" customHeight="false" outlineLevel="0" collapsed="false">
      <c r="A98" s="7"/>
      <c r="B98" s="9"/>
      <c r="C98" s="9"/>
      <c r="D98" s="12" t="str">
        <f aca="false">IF($C98="","",IF(OR($C98="Long call",$C98="Covered call"),"Call","Put"))</f>
        <v/>
      </c>
      <c r="E98" s="12" t="str">
        <f aca="false">IF($C98="","",IF(OR($C98="Long call",$C98="Long put"),"Buy to open","Sell to open"))</f>
        <v/>
      </c>
      <c r="F98" s="13"/>
      <c r="G98" s="7"/>
      <c r="H98" s="14"/>
      <c r="I98" s="13"/>
      <c r="J98" s="13"/>
      <c r="K98" s="13"/>
      <c r="L98" s="9"/>
      <c r="M98" s="7"/>
      <c r="N98" s="13"/>
      <c r="O98" s="15" t="str">
        <f aca="false">IF($C98="","",IF($E98="Sell to open",1,-1)*$I98*$E$2*$H98)</f>
        <v/>
      </c>
      <c r="P98" s="15" t="str">
        <f aca="false">IF($C98="","",IF($C98="Long call",$F98+$I98,IF($C98="Covered call",$J98-$I98,$F98-$I98)))</f>
        <v/>
      </c>
      <c r="Q98" s="16" t="str">
        <f aca="false">IF($C98="","",IF($AA98="Open",$B$2,IF($M98&lt;&gt;"",$M98,$G98))-$A98)</f>
        <v/>
      </c>
      <c r="R98" s="16" t="str">
        <f aca="false">IF($C98="","",IF($AA98="Open",MAX($G98-$B$2,0),""))</f>
        <v/>
      </c>
      <c r="S98" s="15" t="str">
        <f aca="false">IF(OR($C98="",$AA98="Open"),"",IF($L98="Closed",-IF($E98="Sell to open",1,-1)*$N98*$E$2*$H98,0))</f>
        <v/>
      </c>
      <c r="T98" s="15" t="str">
        <f aca="false">IF(OR($C98="",$AA98="Open"),"",$O98+$S98-$K98)</f>
        <v/>
      </c>
      <c r="U98" s="15" t="str">
        <f aca="false">IF(OR($C98="",$AA98="Open"),"",IF(AND($C98="Covered call",$L98="Assigned"),($F98-$J98)*$E$2*$H98,0))</f>
        <v/>
      </c>
      <c r="V98" s="15" t="str">
        <f aca="false">IF(OR($C98="",$AA98="Open"),"",$T98+$U98)</f>
        <v/>
      </c>
      <c r="W98" s="15" t="str">
        <f aca="false">IF($C98="","",IF(OR($C98="Long call",$C98="Long put"),$I98*$E$2*$H98,(IF($C98="Covered call",$J98,$F98)-$I98)*$E$2*$H98))</f>
        <v/>
      </c>
      <c r="X98" s="17" t="str">
        <f aca="false">IF(OR($C98="",$AA98="Open"),"",IF($W98&gt;0,$V98/$W98,""))</f>
        <v/>
      </c>
      <c r="Y98" s="17" t="str">
        <f aca="false">IF(OR($C98="",$AA98="Open"),"",IF($W98&gt;0,$X98*365/MAX($Q98,1),""))</f>
        <v/>
      </c>
      <c r="Z98" s="18" t="str">
        <f aca="false">IF(OR($C98="",$AA98="Open"),"",IF($M98&lt;&gt;"",$M98,$G98))</f>
        <v/>
      </c>
      <c r="AA98" s="12" t="str">
        <f aca="false">IF($C98="","",IF(OR($L98="Open",$L98=""),"Open","Realized"))</f>
        <v/>
      </c>
    </row>
    <row r="99" customFormat="false" ht="15" hidden="false" customHeight="false" outlineLevel="0" collapsed="false">
      <c r="A99" s="7"/>
      <c r="B99" s="9"/>
      <c r="C99" s="9"/>
      <c r="D99" s="12" t="str">
        <f aca="false">IF($C99="","",IF(OR($C99="Long call",$C99="Covered call"),"Call","Put"))</f>
        <v/>
      </c>
      <c r="E99" s="12" t="str">
        <f aca="false">IF($C99="","",IF(OR($C99="Long call",$C99="Long put"),"Buy to open","Sell to open"))</f>
        <v/>
      </c>
      <c r="F99" s="13"/>
      <c r="G99" s="7"/>
      <c r="H99" s="14"/>
      <c r="I99" s="13"/>
      <c r="J99" s="13"/>
      <c r="K99" s="13"/>
      <c r="L99" s="9"/>
      <c r="M99" s="7"/>
      <c r="N99" s="13"/>
      <c r="O99" s="15" t="str">
        <f aca="false">IF($C99="","",IF($E99="Sell to open",1,-1)*$I99*$E$2*$H99)</f>
        <v/>
      </c>
      <c r="P99" s="15" t="str">
        <f aca="false">IF($C99="","",IF($C99="Long call",$F99+$I99,IF($C99="Covered call",$J99-$I99,$F99-$I99)))</f>
        <v/>
      </c>
      <c r="Q99" s="16" t="str">
        <f aca="false">IF($C99="","",IF($AA99="Open",$B$2,IF($M99&lt;&gt;"",$M99,$G99))-$A99)</f>
        <v/>
      </c>
      <c r="R99" s="16" t="str">
        <f aca="false">IF($C99="","",IF($AA99="Open",MAX($G99-$B$2,0),""))</f>
        <v/>
      </c>
      <c r="S99" s="15" t="str">
        <f aca="false">IF(OR($C99="",$AA99="Open"),"",IF($L99="Closed",-IF($E99="Sell to open",1,-1)*$N99*$E$2*$H99,0))</f>
        <v/>
      </c>
      <c r="T99" s="15" t="str">
        <f aca="false">IF(OR($C99="",$AA99="Open"),"",$O99+$S99-$K99)</f>
        <v/>
      </c>
      <c r="U99" s="15" t="str">
        <f aca="false">IF(OR($C99="",$AA99="Open"),"",IF(AND($C99="Covered call",$L99="Assigned"),($F99-$J99)*$E$2*$H99,0))</f>
        <v/>
      </c>
      <c r="V99" s="15" t="str">
        <f aca="false">IF(OR($C99="",$AA99="Open"),"",$T99+$U99)</f>
        <v/>
      </c>
      <c r="W99" s="15" t="str">
        <f aca="false">IF($C99="","",IF(OR($C99="Long call",$C99="Long put"),$I99*$E$2*$H99,(IF($C99="Covered call",$J99,$F99)-$I99)*$E$2*$H99))</f>
        <v/>
      </c>
      <c r="X99" s="17" t="str">
        <f aca="false">IF(OR($C99="",$AA99="Open"),"",IF($W99&gt;0,$V99/$W99,""))</f>
        <v/>
      </c>
      <c r="Y99" s="17" t="str">
        <f aca="false">IF(OR($C99="",$AA99="Open"),"",IF($W99&gt;0,$X99*365/MAX($Q99,1),""))</f>
        <v/>
      </c>
      <c r="Z99" s="18" t="str">
        <f aca="false">IF(OR($C99="",$AA99="Open"),"",IF($M99&lt;&gt;"",$M99,$G99))</f>
        <v/>
      </c>
      <c r="AA99" s="12" t="str">
        <f aca="false">IF($C99="","",IF(OR($L99="Open",$L99=""),"Open","Realized"))</f>
        <v/>
      </c>
    </row>
    <row r="100" customFormat="false" ht="15" hidden="false" customHeight="false" outlineLevel="0" collapsed="false">
      <c r="A100" s="7"/>
      <c r="B100" s="9"/>
      <c r="C100" s="9"/>
      <c r="D100" s="12" t="str">
        <f aca="false">IF($C100="","",IF(OR($C100="Long call",$C100="Covered call"),"Call","Put"))</f>
        <v/>
      </c>
      <c r="E100" s="12" t="str">
        <f aca="false">IF($C100="","",IF(OR($C100="Long call",$C100="Long put"),"Buy to open","Sell to open"))</f>
        <v/>
      </c>
      <c r="F100" s="13"/>
      <c r="G100" s="7"/>
      <c r="H100" s="14"/>
      <c r="I100" s="13"/>
      <c r="J100" s="13"/>
      <c r="K100" s="13"/>
      <c r="L100" s="9"/>
      <c r="M100" s="7"/>
      <c r="N100" s="13"/>
      <c r="O100" s="15" t="str">
        <f aca="false">IF($C100="","",IF($E100="Sell to open",1,-1)*$I100*$E$2*$H100)</f>
        <v/>
      </c>
      <c r="P100" s="15" t="str">
        <f aca="false">IF($C100="","",IF($C100="Long call",$F100+$I100,IF($C100="Covered call",$J100-$I100,$F100-$I100)))</f>
        <v/>
      </c>
      <c r="Q100" s="16" t="str">
        <f aca="false">IF($C100="","",IF($AA100="Open",$B$2,IF($M100&lt;&gt;"",$M100,$G100))-$A100)</f>
        <v/>
      </c>
      <c r="R100" s="16" t="str">
        <f aca="false">IF($C100="","",IF($AA100="Open",MAX($G100-$B$2,0),""))</f>
        <v/>
      </c>
      <c r="S100" s="15" t="str">
        <f aca="false">IF(OR($C100="",$AA100="Open"),"",IF($L100="Closed",-IF($E100="Sell to open",1,-1)*$N100*$E$2*$H100,0))</f>
        <v/>
      </c>
      <c r="T100" s="15" t="str">
        <f aca="false">IF(OR($C100="",$AA100="Open"),"",$O100+$S100-$K100)</f>
        <v/>
      </c>
      <c r="U100" s="15" t="str">
        <f aca="false">IF(OR($C100="",$AA100="Open"),"",IF(AND($C100="Covered call",$L100="Assigned"),($F100-$J100)*$E$2*$H100,0))</f>
        <v/>
      </c>
      <c r="V100" s="15" t="str">
        <f aca="false">IF(OR($C100="",$AA100="Open"),"",$T100+$U100)</f>
        <v/>
      </c>
      <c r="W100" s="15" t="str">
        <f aca="false">IF($C100="","",IF(OR($C100="Long call",$C100="Long put"),$I100*$E$2*$H100,(IF($C100="Covered call",$J100,$F100)-$I100)*$E$2*$H100))</f>
        <v/>
      </c>
      <c r="X100" s="17" t="str">
        <f aca="false">IF(OR($C100="",$AA100="Open"),"",IF($W100&gt;0,$V100/$W100,""))</f>
        <v/>
      </c>
      <c r="Y100" s="17" t="str">
        <f aca="false">IF(OR($C100="",$AA100="Open"),"",IF($W100&gt;0,$X100*365/MAX($Q100,1),""))</f>
        <v/>
      </c>
      <c r="Z100" s="18" t="str">
        <f aca="false">IF(OR($C100="",$AA100="Open"),"",IF($M100&lt;&gt;"",$M100,$G100))</f>
        <v/>
      </c>
      <c r="AA100" s="12" t="str">
        <f aca="false">IF($C100="","",IF(OR($L100="Open",$L100=""),"Open","Realized"))</f>
        <v/>
      </c>
    </row>
    <row r="101" customFormat="false" ht="15" hidden="false" customHeight="false" outlineLevel="0" collapsed="false">
      <c r="A101" s="7"/>
      <c r="B101" s="9"/>
      <c r="C101" s="9"/>
      <c r="D101" s="12" t="str">
        <f aca="false">IF($C101="","",IF(OR($C101="Long call",$C101="Covered call"),"Call","Put"))</f>
        <v/>
      </c>
      <c r="E101" s="12" t="str">
        <f aca="false">IF($C101="","",IF(OR($C101="Long call",$C101="Long put"),"Buy to open","Sell to open"))</f>
        <v/>
      </c>
      <c r="F101" s="13"/>
      <c r="G101" s="7"/>
      <c r="H101" s="14"/>
      <c r="I101" s="13"/>
      <c r="J101" s="13"/>
      <c r="K101" s="13"/>
      <c r="L101" s="9"/>
      <c r="M101" s="7"/>
      <c r="N101" s="13"/>
      <c r="O101" s="15" t="str">
        <f aca="false">IF($C101="","",IF($E101="Sell to open",1,-1)*$I101*$E$2*$H101)</f>
        <v/>
      </c>
      <c r="P101" s="15" t="str">
        <f aca="false">IF($C101="","",IF($C101="Long call",$F101+$I101,IF($C101="Covered call",$J101-$I101,$F101-$I101)))</f>
        <v/>
      </c>
      <c r="Q101" s="16" t="str">
        <f aca="false">IF($C101="","",IF($AA101="Open",$B$2,IF($M101&lt;&gt;"",$M101,$G101))-$A101)</f>
        <v/>
      </c>
      <c r="R101" s="16" t="str">
        <f aca="false">IF($C101="","",IF($AA101="Open",MAX($G101-$B$2,0),""))</f>
        <v/>
      </c>
      <c r="S101" s="15" t="str">
        <f aca="false">IF(OR($C101="",$AA101="Open"),"",IF($L101="Closed",-IF($E101="Sell to open",1,-1)*$N101*$E$2*$H101,0))</f>
        <v/>
      </c>
      <c r="T101" s="15" t="str">
        <f aca="false">IF(OR($C101="",$AA101="Open"),"",$O101+$S101-$K101)</f>
        <v/>
      </c>
      <c r="U101" s="15" t="str">
        <f aca="false">IF(OR($C101="",$AA101="Open"),"",IF(AND($C101="Covered call",$L101="Assigned"),($F101-$J101)*$E$2*$H101,0))</f>
        <v/>
      </c>
      <c r="V101" s="15" t="str">
        <f aca="false">IF(OR($C101="",$AA101="Open"),"",$T101+$U101)</f>
        <v/>
      </c>
      <c r="W101" s="15" t="str">
        <f aca="false">IF($C101="","",IF(OR($C101="Long call",$C101="Long put"),$I101*$E$2*$H101,(IF($C101="Covered call",$J101,$F101)-$I101)*$E$2*$H101))</f>
        <v/>
      </c>
      <c r="X101" s="17" t="str">
        <f aca="false">IF(OR($C101="",$AA101="Open"),"",IF($W101&gt;0,$V101/$W101,""))</f>
        <v/>
      </c>
      <c r="Y101" s="17" t="str">
        <f aca="false">IF(OR($C101="",$AA101="Open"),"",IF($W101&gt;0,$X101*365/MAX($Q101,1),""))</f>
        <v/>
      </c>
      <c r="Z101" s="18" t="str">
        <f aca="false">IF(OR($C101="",$AA101="Open"),"",IF($M101&lt;&gt;"",$M101,$G101))</f>
        <v/>
      </c>
      <c r="AA101" s="12" t="str">
        <f aca="false">IF($C101="","",IF(OR($L101="Open",$L101=""),"Open","Realized"))</f>
        <v/>
      </c>
    </row>
    <row r="102" customFormat="false" ht="15" hidden="false" customHeight="false" outlineLevel="0" collapsed="false">
      <c r="A102" s="7"/>
      <c r="B102" s="9"/>
      <c r="C102" s="9"/>
      <c r="D102" s="12" t="str">
        <f aca="false">IF($C102="","",IF(OR($C102="Long call",$C102="Covered call"),"Call","Put"))</f>
        <v/>
      </c>
      <c r="E102" s="12" t="str">
        <f aca="false">IF($C102="","",IF(OR($C102="Long call",$C102="Long put"),"Buy to open","Sell to open"))</f>
        <v/>
      </c>
      <c r="F102" s="13"/>
      <c r="G102" s="7"/>
      <c r="H102" s="14"/>
      <c r="I102" s="13"/>
      <c r="J102" s="13"/>
      <c r="K102" s="13"/>
      <c r="L102" s="9"/>
      <c r="M102" s="7"/>
      <c r="N102" s="13"/>
      <c r="O102" s="15" t="str">
        <f aca="false">IF($C102="","",IF($E102="Sell to open",1,-1)*$I102*$E$2*$H102)</f>
        <v/>
      </c>
      <c r="P102" s="15" t="str">
        <f aca="false">IF($C102="","",IF($C102="Long call",$F102+$I102,IF($C102="Covered call",$J102-$I102,$F102-$I102)))</f>
        <v/>
      </c>
      <c r="Q102" s="16" t="str">
        <f aca="false">IF($C102="","",IF($AA102="Open",$B$2,IF($M102&lt;&gt;"",$M102,$G102))-$A102)</f>
        <v/>
      </c>
      <c r="R102" s="16" t="str">
        <f aca="false">IF($C102="","",IF($AA102="Open",MAX($G102-$B$2,0),""))</f>
        <v/>
      </c>
      <c r="S102" s="15" t="str">
        <f aca="false">IF(OR($C102="",$AA102="Open"),"",IF($L102="Closed",-IF($E102="Sell to open",1,-1)*$N102*$E$2*$H102,0))</f>
        <v/>
      </c>
      <c r="T102" s="15" t="str">
        <f aca="false">IF(OR($C102="",$AA102="Open"),"",$O102+$S102-$K102)</f>
        <v/>
      </c>
      <c r="U102" s="15" t="str">
        <f aca="false">IF(OR($C102="",$AA102="Open"),"",IF(AND($C102="Covered call",$L102="Assigned"),($F102-$J102)*$E$2*$H102,0))</f>
        <v/>
      </c>
      <c r="V102" s="15" t="str">
        <f aca="false">IF(OR($C102="",$AA102="Open"),"",$T102+$U102)</f>
        <v/>
      </c>
      <c r="W102" s="15" t="str">
        <f aca="false">IF($C102="","",IF(OR($C102="Long call",$C102="Long put"),$I102*$E$2*$H102,(IF($C102="Covered call",$J102,$F102)-$I102)*$E$2*$H102))</f>
        <v/>
      </c>
      <c r="X102" s="17" t="str">
        <f aca="false">IF(OR($C102="",$AA102="Open"),"",IF($W102&gt;0,$V102/$W102,""))</f>
        <v/>
      </c>
      <c r="Y102" s="17" t="str">
        <f aca="false">IF(OR($C102="",$AA102="Open"),"",IF($W102&gt;0,$X102*365/MAX($Q102,1),""))</f>
        <v/>
      </c>
      <c r="Z102" s="18" t="str">
        <f aca="false">IF(OR($C102="",$AA102="Open"),"",IF($M102&lt;&gt;"",$M102,$G102))</f>
        <v/>
      </c>
      <c r="AA102" s="12" t="str">
        <f aca="false">IF($C102="","",IF(OR($L102="Open",$L102=""),"Open","Realized"))</f>
        <v/>
      </c>
    </row>
    <row r="103" customFormat="false" ht="15" hidden="false" customHeight="false" outlineLevel="0" collapsed="false">
      <c r="A103" s="7"/>
      <c r="B103" s="9"/>
      <c r="C103" s="9"/>
      <c r="D103" s="12" t="str">
        <f aca="false">IF($C103="","",IF(OR($C103="Long call",$C103="Covered call"),"Call","Put"))</f>
        <v/>
      </c>
      <c r="E103" s="12" t="str">
        <f aca="false">IF($C103="","",IF(OR($C103="Long call",$C103="Long put"),"Buy to open","Sell to open"))</f>
        <v/>
      </c>
      <c r="F103" s="13"/>
      <c r="G103" s="7"/>
      <c r="H103" s="14"/>
      <c r="I103" s="13"/>
      <c r="J103" s="13"/>
      <c r="K103" s="13"/>
      <c r="L103" s="9"/>
      <c r="M103" s="7"/>
      <c r="N103" s="13"/>
      <c r="O103" s="15" t="str">
        <f aca="false">IF($C103="","",IF($E103="Sell to open",1,-1)*$I103*$E$2*$H103)</f>
        <v/>
      </c>
      <c r="P103" s="15" t="str">
        <f aca="false">IF($C103="","",IF($C103="Long call",$F103+$I103,IF($C103="Covered call",$J103-$I103,$F103-$I103)))</f>
        <v/>
      </c>
      <c r="Q103" s="16" t="str">
        <f aca="false">IF($C103="","",IF($AA103="Open",$B$2,IF($M103&lt;&gt;"",$M103,$G103))-$A103)</f>
        <v/>
      </c>
      <c r="R103" s="16" t="str">
        <f aca="false">IF($C103="","",IF($AA103="Open",MAX($G103-$B$2,0),""))</f>
        <v/>
      </c>
      <c r="S103" s="15" t="str">
        <f aca="false">IF(OR($C103="",$AA103="Open"),"",IF($L103="Closed",-IF($E103="Sell to open",1,-1)*$N103*$E$2*$H103,0))</f>
        <v/>
      </c>
      <c r="T103" s="15" t="str">
        <f aca="false">IF(OR($C103="",$AA103="Open"),"",$O103+$S103-$K103)</f>
        <v/>
      </c>
      <c r="U103" s="15" t="str">
        <f aca="false">IF(OR($C103="",$AA103="Open"),"",IF(AND($C103="Covered call",$L103="Assigned"),($F103-$J103)*$E$2*$H103,0))</f>
        <v/>
      </c>
      <c r="V103" s="15" t="str">
        <f aca="false">IF(OR($C103="",$AA103="Open"),"",$T103+$U103)</f>
        <v/>
      </c>
      <c r="W103" s="15" t="str">
        <f aca="false">IF($C103="","",IF(OR($C103="Long call",$C103="Long put"),$I103*$E$2*$H103,(IF($C103="Covered call",$J103,$F103)-$I103)*$E$2*$H103))</f>
        <v/>
      </c>
      <c r="X103" s="17" t="str">
        <f aca="false">IF(OR($C103="",$AA103="Open"),"",IF($W103&gt;0,$V103/$W103,""))</f>
        <v/>
      </c>
      <c r="Y103" s="17" t="str">
        <f aca="false">IF(OR($C103="",$AA103="Open"),"",IF($W103&gt;0,$X103*365/MAX($Q103,1),""))</f>
        <v/>
      </c>
      <c r="Z103" s="18" t="str">
        <f aca="false">IF(OR($C103="",$AA103="Open"),"",IF($M103&lt;&gt;"",$M103,$G103))</f>
        <v/>
      </c>
      <c r="AA103" s="12" t="str">
        <f aca="false">IF($C103="","",IF(OR($L103="Open",$L103=""),"Open","Realized"))</f>
        <v/>
      </c>
    </row>
    <row r="104" customFormat="false" ht="15" hidden="false" customHeight="false" outlineLevel="0" collapsed="false">
      <c r="A104" s="7"/>
      <c r="B104" s="9"/>
      <c r="C104" s="9"/>
      <c r="D104" s="12" t="str">
        <f aca="false">IF($C104="","",IF(OR($C104="Long call",$C104="Covered call"),"Call","Put"))</f>
        <v/>
      </c>
      <c r="E104" s="12" t="str">
        <f aca="false">IF($C104="","",IF(OR($C104="Long call",$C104="Long put"),"Buy to open","Sell to open"))</f>
        <v/>
      </c>
      <c r="F104" s="13"/>
      <c r="G104" s="7"/>
      <c r="H104" s="14"/>
      <c r="I104" s="13"/>
      <c r="J104" s="13"/>
      <c r="K104" s="13"/>
      <c r="L104" s="9"/>
      <c r="M104" s="7"/>
      <c r="N104" s="13"/>
      <c r="O104" s="15" t="str">
        <f aca="false">IF($C104="","",IF($E104="Sell to open",1,-1)*$I104*$E$2*$H104)</f>
        <v/>
      </c>
      <c r="P104" s="15" t="str">
        <f aca="false">IF($C104="","",IF($C104="Long call",$F104+$I104,IF($C104="Covered call",$J104-$I104,$F104-$I104)))</f>
        <v/>
      </c>
      <c r="Q104" s="16" t="str">
        <f aca="false">IF($C104="","",IF($AA104="Open",$B$2,IF($M104&lt;&gt;"",$M104,$G104))-$A104)</f>
        <v/>
      </c>
      <c r="R104" s="16" t="str">
        <f aca="false">IF($C104="","",IF($AA104="Open",MAX($G104-$B$2,0),""))</f>
        <v/>
      </c>
      <c r="S104" s="15" t="str">
        <f aca="false">IF(OR($C104="",$AA104="Open"),"",IF($L104="Closed",-IF($E104="Sell to open",1,-1)*$N104*$E$2*$H104,0))</f>
        <v/>
      </c>
      <c r="T104" s="15" t="str">
        <f aca="false">IF(OR($C104="",$AA104="Open"),"",$O104+$S104-$K104)</f>
        <v/>
      </c>
      <c r="U104" s="15" t="str">
        <f aca="false">IF(OR($C104="",$AA104="Open"),"",IF(AND($C104="Covered call",$L104="Assigned"),($F104-$J104)*$E$2*$H104,0))</f>
        <v/>
      </c>
      <c r="V104" s="15" t="str">
        <f aca="false">IF(OR($C104="",$AA104="Open"),"",$T104+$U104)</f>
        <v/>
      </c>
      <c r="W104" s="15" t="str">
        <f aca="false">IF($C104="","",IF(OR($C104="Long call",$C104="Long put"),$I104*$E$2*$H104,(IF($C104="Covered call",$J104,$F104)-$I104)*$E$2*$H104))</f>
        <v/>
      </c>
      <c r="X104" s="17" t="str">
        <f aca="false">IF(OR($C104="",$AA104="Open"),"",IF($W104&gt;0,$V104/$W104,""))</f>
        <v/>
      </c>
      <c r="Y104" s="17" t="str">
        <f aca="false">IF(OR($C104="",$AA104="Open"),"",IF($W104&gt;0,$X104*365/MAX($Q104,1),""))</f>
        <v/>
      </c>
      <c r="Z104" s="18" t="str">
        <f aca="false">IF(OR($C104="",$AA104="Open"),"",IF($M104&lt;&gt;"",$M104,$G104))</f>
        <v/>
      </c>
      <c r="AA104" s="12" t="str">
        <f aca="false">IF($C104="","",IF(OR($L104="Open",$L104=""),"Open","Realized"))</f>
        <v/>
      </c>
    </row>
    <row r="105" customFormat="false" ht="15" hidden="false" customHeight="false" outlineLevel="0" collapsed="false">
      <c r="A105" s="7"/>
      <c r="B105" s="9"/>
      <c r="C105" s="9"/>
      <c r="D105" s="12" t="str">
        <f aca="false">IF($C105="","",IF(OR($C105="Long call",$C105="Covered call"),"Call","Put"))</f>
        <v/>
      </c>
      <c r="E105" s="12" t="str">
        <f aca="false">IF($C105="","",IF(OR($C105="Long call",$C105="Long put"),"Buy to open","Sell to open"))</f>
        <v/>
      </c>
      <c r="F105" s="13"/>
      <c r="G105" s="7"/>
      <c r="H105" s="14"/>
      <c r="I105" s="13"/>
      <c r="J105" s="13"/>
      <c r="K105" s="13"/>
      <c r="L105" s="9"/>
      <c r="M105" s="7"/>
      <c r="N105" s="13"/>
      <c r="O105" s="15" t="str">
        <f aca="false">IF($C105="","",IF($E105="Sell to open",1,-1)*$I105*$E$2*$H105)</f>
        <v/>
      </c>
      <c r="P105" s="15" t="str">
        <f aca="false">IF($C105="","",IF($C105="Long call",$F105+$I105,IF($C105="Covered call",$J105-$I105,$F105-$I105)))</f>
        <v/>
      </c>
      <c r="Q105" s="16" t="str">
        <f aca="false">IF($C105="","",IF($AA105="Open",$B$2,IF($M105&lt;&gt;"",$M105,$G105))-$A105)</f>
        <v/>
      </c>
      <c r="R105" s="16" t="str">
        <f aca="false">IF($C105="","",IF($AA105="Open",MAX($G105-$B$2,0),""))</f>
        <v/>
      </c>
      <c r="S105" s="15" t="str">
        <f aca="false">IF(OR($C105="",$AA105="Open"),"",IF($L105="Closed",-IF($E105="Sell to open",1,-1)*$N105*$E$2*$H105,0))</f>
        <v/>
      </c>
      <c r="T105" s="15" t="str">
        <f aca="false">IF(OR($C105="",$AA105="Open"),"",$O105+$S105-$K105)</f>
        <v/>
      </c>
      <c r="U105" s="15" t="str">
        <f aca="false">IF(OR($C105="",$AA105="Open"),"",IF(AND($C105="Covered call",$L105="Assigned"),($F105-$J105)*$E$2*$H105,0))</f>
        <v/>
      </c>
      <c r="V105" s="15" t="str">
        <f aca="false">IF(OR($C105="",$AA105="Open"),"",$T105+$U105)</f>
        <v/>
      </c>
      <c r="W105" s="15" t="str">
        <f aca="false">IF($C105="","",IF(OR($C105="Long call",$C105="Long put"),$I105*$E$2*$H105,(IF($C105="Covered call",$J105,$F105)-$I105)*$E$2*$H105))</f>
        <v/>
      </c>
      <c r="X105" s="17" t="str">
        <f aca="false">IF(OR($C105="",$AA105="Open"),"",IF($W105&gt;0,$V105/$W105,""))</f>
        <v/>
      </c>
      <c r="Y105" s="17" t="str">
        <f aca="false">IF(OR($C105="",$AA105="Open"),"",IF($W105&gt;0,$X105*365/MAX($Q105,1),""))</f>
        <v/>
      </c>
      <c r="Z105" s="18" t="str">
        <f aca="false">IF(OR($C105="",$AA105="Open"),"",IF($M105&lt;&gt;"",$M105,$G105))</f>
        <v/>
      </c>
      <c r="AA105" s="12" t="str">
        <f aca="false">IF($C105="","",IF(OR($L105="Open",$L105=""),"Open","Realized"))</f>
        <v/>
      </c>
    </row>
    <row r="106" customFormat="false" ht="15" hidden="false" customHeight="false" outlineLevel="0" collapsed="false">
      <c r="A106" s="7"/>
      <c r="B106" s="9"/>
      <c r="C106" s="9"/>
      <c r="D106" s="12" t="str">
        <f aca="false">IF($C106="","",IF(OR($C106="Long call",$C106="Covered call"),"Call","Put"))</f>
        <v/>
      </c>
      <c r="E106" s="12" t="str">
        <f aca="false">IF($C106="","",IF(OR($C106="Long call",$C106="Long put"),"Buy to open","Sell to open"))</f>
        <v/>
      </c>
      <c r="F106" s="13"/>
      <c r="G106" s="7"/>
      <c r="H106" s="14"/>
      <c r="I106" s="13"/>
      <c r="J106" s="13"/>
      <c r="K106" s="13"/>
      <c r="L106" s="9"/>
      <c r="M106" s="7"/>
      <c r="N106" s="13"/>
      <c r="O106" s="15" t="str">
        <f aca="false">IF($C106="","",IF($E106="Sell to open",1,-1)*$I106*$E$2*$H106)</f>
        <v/>
      </c>
      <c r="P106" s="15" t="str">
        <f aca="false">IF($C106="","",IF($C106="Long call",$F106+$I106,IF($C106="Covered call",$J106-$I106,$F106-$I106)))</f>
        <v/>
      </c>
      <c r="Q106" s="16" t="str">
        <f aca="false">IF($C106="","",IF($AA106="Open",$B$2,IF($M106&lt;&gt;"",$M106,$G106))-$A106)</f>
        <v/>
      </c>
      <c r="R106" s="16" t="str">
        <f aca="false">IF($C106="","",IF($AA106="Open",MAX($G106-$B$2,0),""))</f>
        <v/>
      </c>
      <c r="S106" s="15" t="str">
        <f aca="false">IF(OR($C106="",$AA106="Open"),"",IF($L106="Closed",-IF($E106="Sell to open",1,-1)*$N106*$E$2*$H106,0))</f>
        <v/>
      </c>
      <c r="T106" s="15" t="str">
        <f aca="false">IF(OR($C106="",$AA106="Open"),"",$O106+$S106-$K106)</f>
        <v/>
      </c>
      <c r="U106" s="15" t="str">
        <f aca="false">IF(OR($C106="",$AA106="Open"),"",IF(AND($C106="Covered call",$L106="Assigned"),($F106-$J106)*$E$2*$H106,0))</f>
        <v/>
      </c>
      <c r="V106" s="15" t="str">
        <f aca="false">IF(OR($C106="",$AA106="Open"),"",$T106+$U106)</f>
        <v/>
      </c>
      <c r="W106" s="15" t="str">
        <f aca="false">IF($C106="","",IF(OR($C106="Long call",$C106="Long put"),$I106*$E$2*$H106,(IF($C106="Covered call",$J106,$F106)-$I106)*$E$2*$H106))</f>
        <v/>
      </c>
      <c r="X106" s="17" t="str">
        <f aca="false">IF(OR($C106="",$AA106="Open"),"",IF($W106&gt;0,$V106/$W106,""))</f>
        <v/>
      </c>
      <c r="Y106" s="17" t="str">
        <f aca="false">IF(OR($C106="",$AA106="Open"),"",IF($W106&gt;0,$X106*365/MAX($Q106,1),""))</f>
        <v/>
      </c>
      <c r="Z106" s="18" t="str">
        <f aca="false">IF(OR($C106="",$AA106="Open"),"",IF($M106&lt;&gt;"",$M106,$G106))</f>
        <v/>
      </c>
      <c r="AA106" s="12" t="str">
        <f aca="false">IF($C106="","",IF(OR($L106="Open",$L106=""),"Open","Realized"))</f>
        <v/>
      </c>
    </row>
    <row r="107" customFormat="false" ht="15" hidden="false" customHeight="false" outlineLevel="0" collapsed="false">
      <c r="A107" s="7"/>
      <c r="B107" s="9"/>
      <c r="C107" s="9"/>
      <c r="D107" s="12" t="str">
        <f aca="false">IF($C107="","",IF(OR($C107="Long call",$C107="Covered call"),"Call","Put"))</f>
        <v/>
      </c>
      <c r="E107" s="12" t="str">
        <f aca="false">IF($C107="","",IF(OR($C107="Long call",$C107="Long put"),"Buy to open","Sell to open"))</f>
        <v/>
      </c>
      <c r="F107" s="13"/>
      <c r="G107" s="7"/>
      <c r="H107" s="14"/>
      <c r="I107" s="13"/>
      <c r="J107" s="13"/>
      <c r="K107" s="13"/>
      <c r="L107" s="9"/>
      <c r="M107" s="7"/>
      <c r="N107" s="13"/>
      <c r="O107" s="15" t="str">
        <f aca="false">IF($C107="","",IF($E107="Sell to open",1,-1)*$I107*$E$2*$H107)</f>
        <v/>
      </c>
      <c r="P107" s="15" t="str">
        <f aca="false">IF($C107="","",IF($C107="Long call",$F107+$I107,IF($C107="Covered call",$J107-$I107,$F107-$I107)))</f>
        <v/>
      </c>
      <c r="Q107" s="16" t="str">
        <f aca="false">IF($C107="","",IF($AA107="Open",$B$2,IF($M107&lt;&gt;"",$M107,$G107))-$A107)</f>
        <v/>
      </c>
      <c r="R107" s="16" t="str">
        <f aca="false">IF($C107="","",IF($AA107="Open",MAX($G107-$B$2,0),""))</f>
        <v/>
      </c>
      <c r="S107" s="15" t="str">
        <f aca="false">IF(OR($C107="",$AA107="Open"),"",IF($L107="Closed",-IF($E107="Sell to open",1,-1)*$N107*$E$2*$H107,0))</f>
        <v/>
      </c>
      <c r="T107" s="15" t="str">
        <f aca="false">IF(OR($C107="",$AA107="Open"),"",$O107+$S107-$K107)</f>
        <v/>
      </c>
      <c r="U107" s="15" t="str">
        <f aca="false">IF(OR($C107="",$AA107="Open"),"",IF(AND($C107="Covered call",$L107="Assigned"),($F107-$J107)*$E$2*$H107,0))</f>
        <v/>
      </c>
      <c r="V107" s="15" t="str">
        <f aca="false">IF(OR($C107="",$AA107="Open"),"",$T107+$U107)</f>
        <v/>
      </c>
      <c r="W107" s="15" t="str">
        <f aca="false">IF($C107="","",IF(OR($C107="Long call",$C107="Long put"),$I107*$E$2*$H107,(IF($C107="Covered call",$J107,$F107)-$I107)*$E$2*$H107))</f>
        <v/>
      </c>
      <c r="X107" s="17" t="str">
        <f aca="false">IF(OR($C107="",$AA107="Open"),"",IF($W107&gt;0,$V107/$W107,""))</f>
        <v/>
      </c>
      <c r="Y107" s="17" t="str">
        <f aca="false">IF(OR($C107="",$AA107="Open"),"",IF($W107&gt;0,$X107*365/MAX($Q107,1),""))</f>
        <v/>
      </c>
      <c r="Z107" s="18" t="str">
        <f aca="false">IF(OR($C107="",$AA107="Open"),"",IF($M107&lt;&gt;"",$M107,$G107))</f>
        <v/>
      </c>
      <c r="AA107" s="12" t="str">
        <f aca="false">IF($C107="","",IF(OR($L107="Open",$L107=""),"Open","Realized"))</f>
        <v/>
      </c>
    </row>
    <row r="108" customFormat="false" ht="15" hidden="false" customHeight="false" outlineLevel="0" collapsed="false">
      <c r="A108" s="7"/>
      <c r="B108" s="9"/>
      <c r="C108" s="9"/>
      <c r="D108" s="12" t="str">
        <f aca="false">IF($C108="","",IF(OR($C108="Long call",$C108="Covered call"),"Call","Put"))</f>
        <v/>
      </c>
      <c r="E108" s="12" t="str">
        <f aca="false">IF($C108="","",IF(OR($C108="Long call",$C108="Long put"),"Buy to open","Sell to open"))</f>
        <v/>
      </c>
      <c r="F108" s="13"/>
      <c r="G108" s="7"/>
      <c r="H108" s="14"/>
      <c r="I108" s="13"/>
      <c r="J108" s="13"/>
      <c r="K108" s="13"/>
      <c r="L108" s="9"/>
      <c r="M108" s="7"/>
      <c r="N108" s="13"/>
      <c r="O108" s="15" t="str">
        <f aca="false">IF($C108="","",IF($E108="Sell to open",1,-1)*$I108*$E$2*$H108)</f>
        <v/>
      </c>
      <c r="P108" s="15" t="str">
        <f aca="false">IF($C108="","",IF($C108="Long call",$F108+$I108,IF($C108="Covered call",$J108-$I108,$F108-$I108)))</f>
        <v/>
      </c>
      <c r="Q108" s="16" t="str">
        <f aca="false">IF($C108="","",IF($AA108="Open",$B$2,IF($M108&lt;&gt;"",$M108,$G108))-$A108)</f>
        <v/>
      </c>
      <c r="R108" s="16" t="str">
        <f aca="false">IF($C108="","",IF($AA108="Open",MAX($G108-$B$2,0),""))</f>
        <v/>
      </c>
      <c r="S108" s="15" t="str">
        <f aca="false">IF(OR($C108="",$AA108="Open"),"",IF($L108="Closed",-IF($E108="Sell to open",1,-1)*$N108*$E$2*$H108,0))</f>
        <v/>
      </c>
      <c r="T108" s="15" t="str">
        <f aca="false">IF(OR($C108="",$AA108="Open"),"",$O108+$S108-$K108)</f>
        <v/>
      </c>
      <c r="U108" s="15" t="str">
        <f aca="false">IF(OR($C108="",$AA108="Open"),"",IF(AND($C108="Covered call",$L108="Assigned"),($F108-$J108)*$E$2*$H108,0))</f>
        <v/>
      </c>
      <c r="V108" s="15" t="str">
        <f aca="false">IF(OR($C108="",$AA108="Open"),"",$T108+$U108)</f>
        <v/>
      </c>
      <c r="W108" s="15" t="str">
        <f aca="false">IF($C108="","",IF(OR($C108="Long call",$C108="Long put"),$I108*$E$2*$H108,(IF($C108="Covered call",$J108,$F108)-$I108)*$E$2*$H108))</f>
        <v/>
      </c>
      <c r="X108" s="17" t="str">
        <f aca="false">IF(OR($C108="",$AA108="Open"),"",IF($W108&gt;0,$V108/$W108,""))</f>
        <v/>
      </c>
      <c r="Y108" s="17" t="str">
        <f aca="false">IF(OR($C108="",$AA108="Open"),"",IF($W108&gt;0,$X108*365/MAX($Q108,1),""))</f>
        <v/>
      </c>
      <c r="Z108" s="18" t="str">
        <f aca="false">IF(OR($C108="",$AA108="Open"),"",IF($M108&lt;&gt;"",$M108,$G108))</f>
        <v/>
      </c>
      <c r="AA108" s="12" t="str">
        <f aca="false">IF($C108="","",IF(OR($L108="Open",$L108=""),"Open","Realized"))</f>
        <v/>
      </c>
    </row>
    <row r="109" customFormat="false" ht="15" hidden="false" customHeight="false" outlineLevel="0" collapsed="false">
      <c r="A109" s="7"/>
      <c r="B109" s="9"/>
      <c r="C109" s="9"/>
      <c r="D109" s="12" t="str">
        <f aca="false">IF($C109="","",IF(OR($C109="Long call",$C109="Covered call"),"Call","Put"))</f>
        <v/>
      </c>
      <c r="E109" s="12" t="str">
        <f aca="false">IF($C109="","",IF(OR($C109="Long call",$C109="Long put"),"Buy to open","Sell to open"))</f>
        <v/>
      </c>
      <c r="F109" s="13"/>
      <c r="G109" s="7"/>
      <c r="H109" s="14"/>
      <c r="I109" s="13"/>
      <c r="J109" s="13"/>
      <c r="K109" s="13"/>
      <c r="L109" s="9"/>
      <c r="M109" s="7"/>
      <c r="N109" s="13"/>
      <c r="O109" s="15" t="str">
        <f aca="false">IF($C109="","",IF($E109="Sell to open",1,-1)*$I109*$E$2*$H109)</f>
        <v/>
      </c>
      <c r="P109" s="15" t="str">
        <f aca="false">IF($C109="","",IF($C109="Long call",$F109+$I109,IF($C109="Covered call",$J109-$I109,$F109-$I109)))</f>
        <v/>
      </c>
      <c r="Q109" s="16" t="str">
        <f aca="false">IF($C109="","",IF($AA109="Open",$B$2,IF($M109&lt;&gt;"",$M109,$G109))-$A109)</f>
        <v/>
      </c>
      <c r="R109" s="16" t="str">
        <f aca="false">IF($C109="","",IF($AA109="Open",MAX($G109-$B$2,0),""))</f>
        <v/>
      </c>
      <c r="S109" s="15" t="str">
        <f aca="false">IF(OR($C109="",$AA109="Open"),"",IF($L109="Closed",-IF($E109="Sell to open",1,-1)*$N109*$E$2*$H109,0))</f>
        <v/>
      </c>
      <c r="T109" s="15" t="str">
        <f aca="false">IF(OR($C109="",$AA109="Open"),"",$O109+$S109-$K109)</f>
        <v/>
      </c>
      <c r="U109" s="15" t="str">
        <f aca="false">IF(OR($C109="",$AA109="Open"),"",IF(AND($C109="Covered call",$L109="Assigned"),($F109-$J109)*$E$2*$H109,0))</f>
        <v/>
      </c>
      <c r="V109" s="15" t="str">
        <f aca="false">IF(OR($C109="",$AA109="Open"),"",$T109+$U109)</f>
        <v/>
      </c>
      <c r="W109" s="15" t="str">
        <f aca="false">IF($C109="","",IF(OR($C109="Long call",$C109="Long put"),$I109*$E$2*$H109,(IF($C109="Covered call",$J109,$F109)-$I109)*$E$2*$H109))</f>
        <v/>
      </c>
      <c r="X109" s="17" t="str">
        <f aca="false">IF(OR($C109="",$AA109="Open"),"",IF($W109&gt;0,$V109/$W109,""))</f>
        <v/>
      </c>
      <c r="Y109" s="17" t="str">
        <f aca="false">IF(OR($C109="",$AA109="Open"),"",IF($W109&gt;0,$X109*365/MAX($Q109,1),""))</f>
        <v/>
      </c>
      <c r="Z109" s="18" t="str">
        <f aca="false">IF(OR($C109="",$AA109="Open"),"",IF($M109&lt;&gt;"",$M109,$G109))</f>
        <v/>
      </c>
      <c r="AA109" s="12" t="str">
        <f aca="false">IF($C109="","",IF(OR($L109="Open",$L109=""),"Open","Realized"))</f>
        <v/>
      </c>
    </row>
    <row r="110" customFormat="false" ht="15" hidden="false" customHeight="false" outlineLevel="0" collapsed="false">
      <c r="A110" s="7"/>
      <c r="B110" s="9"/>
      <c r="C110" s="9"/>
      <c r="D110" s="12" t="str">
        <f aca="false">IF($C110="","",IF(OR($C110="Long call",$C110="Covered call"),"Call","Put"))</f>
        <v/>
      </c>
      <c r="E110" s="12" t="str">
        <f aca="false">IF($C110="","",IF(OR($C110="Long call",$C110="Long put"),"Buy to open","Sell to open"))</f>
        <v/>
      </c>
      <c r="F110" s="13"/>
      <c r="G110" s="7"/>
      <c r="H110" s="14"/>
      <c r="I110" s="13"/>
      <c r="J110" s="13"/>
      <c r="K110" s="13"/>
      <c r="L110" s="9"/>
      <c r="M110" s="7"/>
      <c r="N110" s="13"/>
      <c r="O110" s="15" t="str">
        <f aca="false">IF($C110="","",IF($E110="Sell to open",1,-1)*$I110*$E$2*$H110)</f>
        <v/>
      </c>
      <c r="P110" s="15" t="str">
        <f aca="false">IF($C110="","",IF($C110="Long call",$F110+$I110,IF($C110="Covered call",$J110-$I110,$F110-$I110)))</f>
        <v/>
      </c>
      <c r="Q110" s="16" t="str">
        <f aca="false">IF($C110="","",IF($AA110="Open",$B$2,IF($M110&lt;&gt;"",$M110,$G110))-$A110)</f>
        <v/>
      </c>
      <c r="R110" s="16" t="str">
        <f aca="false">IF($C110="","",IF($AA110="Open",MAX($G110-$B$2,0),""))</f>
        <v/>
      </c>
      <c r="S110" s="15" t="str">
        <f aca="false">IF(OR($C110="",$AA110="Open"),"",IF($L110="Closed",-IF($E110="Sell to open",1,-1)*$N110*$E$2*$H110,0))</f>
        <v/>
      </c>
      <c r="T110" s="15" t="str">
        <f aca="false">IF(OR($C110="",$AA110="Open"),"",$O110+$S110-$K110)</f>
        <v/>
      </c>
      <c r="U110" s="15" t="str">
        <f aca="false">IF(OR($C110="",$AA110="Open"),"",IF(AND($C110="Covered call",$L110="Assigned"),($F110-$J110)*$E$2*$H110,0))</f>
        <v/>
      </c>
      <c r="V110" s="15" t="str">
        <f aca="false">IF(OR($C110="",$AA110="Open"),"",$T110+$U110)</f>
        <v/>
      </c>
      <c r="W110" s="15" t="str">
        <f aca="false">IF($C110="","",IF(OR($C110="Long call",$C110="Long put"),$I110*$E$2*$H110,(IF($C110="Covered call",$J110,$F110)-$I110)*$E$2*$H110))</f>
        <v/>
      </c>
      <c r="X110" s="17" t="str">
        <f aca="false">IF(OR($C110="",$AA110="Open"),"",IF($W110&gt;0,$V110/$W110,""))</f>
        <v/>
      </c>
      <c r="Y110" s="17" t="str">
        <f aca="false">IF(OR($C110="",$AA110="Open"),"",IF($W110&gt;0,$X110*365/MAX($Q110,1),""))</f>
        <v/>
      </c>
      <c r="Z110" s="18" t="str">
        <f aca="false">IF(OR($C110="",$AA110="Open"),"",IF($M110&lt;&gt;"",$M110,$G110))</f>
        <v/>
      </c>
      <c r="AA110" s="12" t="str">
        <f aca="false">IF($C110="","",IF(OR($L110="Open",$L110=""),"Open","Realized"))</f>
        <v/>
      </c>
    </row>
    <row r="111" customFormat="false" ht="15" hidden="false" customHeight="false" outlineLevel="0" collapsed="false">
      <c r="A111" s="7"/>
      <c r="B111" s="9"/>
      <c r="C111" s="9"/>
      <c r="D111" s="12" t="str">
        <f aca="false">IF($C111="","",IF(OR($C111="Long call",$C111="Covered call"),"Call","Put"))</f>
        <v/>
      </c>
      <c r="E111" s="12" t="str">
        <f aca="false">IF($C111="","",IF(OR($C111="Long call",$C111="Long put"),"Buy to open","Sell to open"))</f>
        <v/>
      </c>
      <c r="F111" s="13"/>
      <c r="G111" s="7"/>
      <c r="H111" s="14"/>
      <c r="I111" s="13"/>
      <c r="J111" s="13"/>
      <c r="K111" s="13"/>
      <c r="L111" s="9"/>
      <c r="M111" s="7"/>
      <c r="N111" s="13"/>
      <c r="O111" s="15" t="str">
        <f aca="false">IF($C111="","",IF($E111="Sell to open",1,-1)*$I111*$E$2*$H111)</f>
        <v/>
      </c>
      <c r="P111" s="15" t="str">
        <f aca="false">IF($C111="","",IF($C111="Long call",$F111+$I111,IF($C111="Covered call",$J111-$I111,$F111-$I111)))</f>
        <v/>
      </c>
      <c r="Q111" s="16" t="str">
        <f aca="false">IF($C111="","",IF($AA111="Open",$B$2,IF($M111&lt;&gt;"",$M111,$G111))-$A111)</f>
        <v/>
      </c>
      <c r="R111" s="16" t="str">
        <f aca="false">IF($C111="","",IF($AA111="Open",MAX($G111-$B$2,0),""))</f>
        <v/>
      </c>
      <c r="S111" s="15" t="str">
        <f aca="false">IF(OR($C111="",$AA111="Open"),"",IF($L111="Closed",-IF($E111="Sell to open",1,-1)*$N111*$E$2*$H111,0))</f>
        <v/>
      </c>
      <c r="T111" s="15" t="str">
        <f aca="false">IF(OR($C111="",$AA111="Open"),"",$O111+$S111-$K111)</f>
        <v/>
      </c>
      <c r="U111" s="15" t="str">
        <f aca="false">IF(OR($C111="",$AA111="Open"),"",IF(AND($C111="Covered call",$L111="Assigned"),($F111-$J111)*$E$2*$H111,0))</f>
        <v/>
      </c>
      <c r="V111" s="15" t="str">
        <f aca="false">IF(OR($C111="",$AA111="Open"),"",$T111+$U111)</f>
        <v/>
      </c>
      <c r="W111" s="15" t="str">
        <f aca="false">IF($C111="","",IF(OR($C111="Long call",$C111="Long put"),$I111*$E$2*$H111,(IF($C111="Covered call",$J111,$F111)-$I111)*$E$2*$H111))</f>
        <v/>
      </c>
      <c r="X111" s="17" t="str">
        <f aca="false">IF(OR($C111="",$AA111="Open"),"",IF($W111&gt;0,$V111/$W111,""))</f>
        <v/>
      </c>
      <c r="Y111" s="17" t="str">
        <f aca="false">IF(OR($C111="",$AA111="Open"),"",IF($W111&gt;0,$X111*365/MAX($Q111,1),""))</f>
        <v/>
      </c>
      <c r="Z111" s="18" t="str">
        <f aca="false">IF(OR($C111="",$AA111="Open"),"",IF($M111&lt;&gt;"",$M111,$G111))</f>
        <v/>
      </c>
      <c r="AA111" s="12" t="str">
        <f aca="false">IF($C111="","",IF(OR($L111="Open",$L111=""),"Open","Realized"))</f>
        <v/>
      </c>
    </row>
    <row r="112" customFormat="false" ht="15" hidden="false" customHeight="false" outlineLevel="0" collapsed="false">
      <c r="A112" s="7"/>
      <c r="B112" s="9"/>
      <c r="C112" s="9"/>
      <c r="D112" s="12" t="str">
        <f aca="false">IF($C112="","",IF(OR($C112="Long call",$C112="Covered call"),"Call","Put"))</f>
        <v/>
      </c>
      <c r="E112" s="12" t="str">
        <f aca="false">IF($C112="","",IF(OR($C112="Long call",$C112="Long put"),"Buy to open","Sell to open"))</f>
        <v/>
      </c>
      <c r="F112" s="13"/>
      <c r="G112" s="7"/>
      <c r="H112" s="14"/>
      <c r="I112" s="13"/>
      <c r="J112" s="13"/>
      <c r="K112" s="13"/>
      <c r="L112" s="9"/>
      <c r="M112" s="7"/>
      <c r="N112" s="13"/>
      <c r="O112" s="15" t="str">
        <f aca="false">IF($C112="","",IF($E112="Sell to open",1,-1)*$I112*$E$2*$H112)</f>
        <v/>
      </c>
      <c r="P112" s="15" t="str">
        <f aca="false">IF($C112="","",IF($C112="Long call",$F112+$I112,IF($C112="Covered call",$J112-$I112,$F112-$I112)))</f>
        <v/>
      </c>
      <c r="Q112" s="16" t="str">
        <f aca="false">IF($C112="","",IF($AA112="Open",$B$2,IF($M112&lt;&gt;"",$M112,$G112))-$A112)</f>
        <v/>
      </c>
      <c r="R112" s="16" t="str">
        <f aca="false">IF($C112="","",IF($AA112="Open",MAX($G112-$B$2,0),""))</f>
        <v/>
      </c>
      <c r="S112" s="15" t="str">
        <f aca="false">IF(OR($C112="",$AA112="Open"),"",IF($L112="Closed",-IF($E112="Sell to open",1,-1)*$N112*$E$2*$H112,0))</f>
        <v/>
      </c>
      <c r="T112" s="15" t="str">
        <f aca="false">IF(OR($C112="",$AA112="Open"),"",$O112+$S112-$K112)</f>
        <v/>
      </c>
      <c r="U112" s="15" t="str">
        <f aca="false">IF(OR($C112="",$AA112="Open"),"",IF(AND($C112="Covered call",$L112="Assigned"),($F112-$J112)*$E$2*$H112,0))</f>
        <v/>
      </c>
      <c r="V112" s="15" t="str">
        <f aca="false">IF(OR($C112="",$AA112="Open"),"",$T112+$U112)</f>
        <v/>
      </c>
      <c r="W112" s="15" t="str">
        <f aca="false">IF($C112="","",IF(OR($C112="Long call",$C112="Long put"),$I112*$E$2*$H112,(IF($C112="Covered call",$J112,$F112)-$I112)*$E$2*$H112))</f>
        <v/>
      </c>
      <c r="X112" s="17" t="str">
        <f aca="false">IF(OR($C112="",$AA112="Open"),"",IF($W112&gt;0,$V112/$W112,""))</f>
        <v/>
      </c>
      <c r="Y112" s="17" t="str">
        <f aca="false">IF(OR($C112="",$AA112="Open"),"",IF($W112&gt;0,$X112*365/MAX($Q112,1),""))</f>
        <v/>
      </c>
      <c r="Z112" s="18" t="str">
        <f aca="false">IF(OR($C112="",$AA112="Open"),"",IF($M112&lt;&gt;"",$M112,$G112))</f>
        <v/>
      </c>
      <c r="AA112" s="12" t="str">
        <f aca="false">IF($C112="","",IF(OR($L112="Open",$L112=""),"Open","Realized"))</f>
        <v/>
      </c>
    </row>
    <row r="113" customFormat="false" ht="15" hidden="false" customHeight="false" outlineLevel="0" collapsed="false">
      <c r="A113" s="7"/>
      <c r="B113" s="9"/>
      <c r="C113" s="9"/>
      <c r="D113" s="12" t="str">
        <f aca="false">IF($C113="","",IF(OR($C113="Long call",$C113="Covered call"),"Call","Put"))</f>
        <v/>
      </c>
      <c r="E113" s="12" t="str">
        <f aca="false">IF($C113="","",IF(OR($C113="Long call",$C113="Long put"),"Buy to open","Sell to open"))</f>
        <v/>
      </c>
      <c r="F113" s="13"/>
      <c r="G113" s="7"/>
      <c r="H113" s="14"/>
      <c r="I113" s="13"/>
      <c r="J113" s="13"/>
      <c r="K113" s="13"/>
      <c r="L113" s="9"/>
      <c r="M113" s="7"/>
      <c r="N113" s="13"/>
      <c r="O113" s="15" t="str">
        <f aca="false">IF($C113="","",IF($E113="Sell to open",1,-1)*$I113*$E$2*$H113)</f>
        <v/>
      </c>
      <c r="P113" s="15" t="str">
        <f aca="false">IF($C113="","",IF($C113="Long call",$F113+$I113,IF($C113="Covered call",$J113-$I113,$F113-$I113)))</f>
        <v/>
      </c>
      <c r="Q113" s="16" t="str">
        <f aca="false">IF($C113="","",IF($AA113="Open",$B$2,IF($M113&lt;&gt;"",$M113,$G113))-$A113)</f>
        <v/>
      </c>
      <c r="R113" s="16" t="str">
        <f aca="false">IF($C113="","",IF($AA113="Open",MAX($G113-$B$2,0),""))</f>
        <v/>
      </c>
      <c r="S113" s="15" t="str">
        <f aca="false">IF(OR($C113="",$AA113="Open"),"",IF($L113="Closed",-IF($E113="Sell to open",1,-1)*$N113*$E$2*$H113,0))</f>
        <v/>
      </c>
      <c r="T113" s="15" t="str">
        <f aca="false">IF(OR($C113="",$AA113="Open"),"",$O113+$S113-$K113)</f>
        <v/>
      </c>
      <c r="U113" s="15" t="str">
        <f aca="false">IF(OR($C113="",$AA113="Open"),"",IF(AND($C113="Covered call",$L113="Assigned"),($F113-$J113)*$E$2*$H113,0))</f>
        <v/>
      </c>
      <c r="V113" s="15" t="str">
        <f aca="false">IF(OR($C113="",$AA113="Open"),"",$T113+$U113)</f>
        <v/>
      </c>
      <c r="W113" s="15" t="str">
        <f aca="false">IF($C113="","",IF(OR($C113="Long call",$C113="Long put"),$I113*$E$2*$H113,(IF($C113="Covered call",$J113,$F113)-$I113)*$E$2*$H113))</f>
        <v/>
      </c>
      <c r="X113" s="17" t="str">
        <f aca="false">IF(OR($C113="",$AA113="Open"),"",IF($W113&gt;0,$V113/$W113,""))</f>
        <v/>
      </c>
      <c r="Y113" s="17" t="str">
        <f aca="false">IF(OR($C113="",$AA113="Open"),"",IF($W113&gt;0,$X113*365/MAX($Q113,1),""))</f>
        <v/>
      </c>
      <c r="Z113" s="18" t="str">
        <f aca="false">IF(OR($C113="",$AA113="Open"),"",IF($M113&lt;&gt;"",$M113,$G113))</f>
        <v/>
      </c>
      <c r="AA113" s="12" t="str">
        <f aca="false">IF($C113="","",IF(OR($L113="Open",$L113=""),"Open","Realized"))</f>
        <v/>
      </c>
    </row>
    <row r="114" customFormat="false" ht="15" hidden="false" customHeight="false" outlineLevel="0" collapsed="false">
      <c r="A114" s="7"/>
      <c r="B114" s="9"/>
      <c r="C114" s="9"/>
      <c r="D114" s="12" t="str">
        <f aca="false">IF($C114="","",IF(OR($C114="Long call",$C114="Covered call"),"Call","Put"))</f>
        <v/>
      </c>
      <c r="E114" s="12" t="str">
        <f aca="false">IF($C114="","",IF(OR($C114="Long call",$C114="Long put"),"Buy to open","Sell to open"))</f>
        <v/>
      </c>
      <c r="F114" s="13"/>
      <c r="G114" s="7"/>
      <c r="H114" s="14"/>
      <c r="I114" s="13"/>
      <c r="J114" s="13"/>
      <c r="K114" s="13"/>
      <c r="L114" s="9"/>
      <c r="M114" s="7"/>
      <c r="N114" s="13"/>
      <c r="O114" s="15" t="str">
        <f aca="false">IF($C114="","",IF($E114="Sell to open",1,-1)*$I114*$E$2*$H114)</f>
        <v/>
      </c>
      <c r="P114" s="15" t="str">
        <f aca="false">IF($C114="","",IF($C114="Long call",$F114+$I114,IF($C114="Covered call",$J114-$I114,$F114-$I114)))</f>
        <v/>
      </c>
      <c r="Q114" s="16" t="str">
        <f aca="false">IF($C114="","",IF($AA114="Open",$B$2,IF($M114&lt;&gt;"",$M114,$G114))-$A114)</f>
        <v/>
      </c>
      <c r="R114" s="16" t="str">
        <f aca="false">IF($C114="","",IF($AA114="Open",MAX($G114-$B$2,0),""))</f>
        <v/>
      </c>
      <c r="S114" s="15" t="str">
        <f aca="false">IF(OR($C114="",$AA114="Open"),"",IF($L114="Closed",-IF($E114="Sell to open",1,-1)*$N114*$E$2*$H114,0))</f>
        <v/>
      </c>
      <c r="T114" s="15" t="str">
        <f aca="false">IF(OR($C114="",$AA114="Open"),"",$O114+$S114-$K114)</f>
        <v/>
      </c>
      <c r="U114" s="15" t="str">
        <f aca="false">IF(OR($C114="",$AA114="Open"),"",IF(AND($C114="Covered call",$L114="Assigned"),($F114-$J114)*$E$2*$H114,0))</f>
        <v/>
      </c>
      <c r="V114" s="15" t="str">
        <f aca="false">IF(OR($C114="",$AA114="Open"),"",$T114+$U114)</f>
        <v/>
      </c>
      <c r="W114" s="15" t="str">
        <f aca="false">IF($C114="","",IF(OR($C114="Long call",$C114="Long put"),$I114*$E$2*$H114,(IF($C114="Covered call",$J114,$F114)-$I114)*$E$2*$H114))</f>
        <v/>
      </c>
      <c r="X114" s="17" t="str">
        <f aca="false">IF(OR($C114="",$AA114="Open"),"",IF($W114&gt;0,$V114/$W114,""))</f>
        <v/>
      </c>
      <c r="Y114" s="17" t="str">
        <f aca="false">IF(OR($C114="",$AA114="Open"),"",IF($W114&gt;0,$X114*365/MAX($Q114,1),""))</f>
        <v/>
      </c>
      <c r="Z114" s="18" t="str">
        <f aca="false">IF(OR($C114="",$AA114="Open"),"",IF($M114&lt;&gt;"",$M114,$G114))</f>
        <v/>
      </c>
      <c r="AA114" s="12" t="str">
        <f aca="false">IF($C114="","",IF(OR($L114="Open",$L114=""),"Open","Realized"))</f>
        <v/>
      </c>
    </row>
    <row r="115" customFormat="false" ht="15" hidden="false" customHeight="false" outlineLevel="0" collapsed="false">
      <c r="A115" s="7"/>
      <c r="B115" s="9"/>
      <c r="C115" s="9"/>
      <c r="D115" s="12" t="str">
        <f aca="false">IF($C115="","",IF(OR($C115="Long call",$C115="Covered call"),"Call","Put"))</f>
        <v/>
      </c>
      <c r="E115" s="12" t="str">
        <f aca="false">IF($C115="","",IF(OR($C115="Long call",$C115="Long put"),"Buy to open","Sell to open"))</f>
        <v/>
      </c>
      <c r="F115" s="13"/>
      <c r="G115" s="7"/>
      <c r="H115" s="14"/>
      <c r="I115" s="13"/>
      <c r="J115" s="13"/>
      <c r="K115" s="13"/>
      <c r="L115" s="9"/>
      <c r="M115" s="7"/>
      <c r="N115" s="13"/>
      <c r="O115" s="15" t="str">
        <f aca="false">IF($C115="","",IF($E115="Sell to open",1,-1)*$I115*$E$2*$H115)</f>
        <v/>
      </c>
      <c r="P115" s="15" t="str">
        <f aca="false">IF($C115="","",IF($C115="Long call",$F115+$I115,IF($C115="Covered call",$J115-$I115,$F115-$I115)))</f>
        <v/>
      </c>
      <c r="Q115" s="16" t="str">
        <f aca="false">IF($C115="","",IF($AA115="Open",$B$2,IF($M115&lt;&gt;"",$M115,$G115))-$A115)</f>
        <v/>
      </c>
      <c r="R115" s="16" t="str">
        <f aca="false">IF($C115="","",IF($AA115="Open",MAX($G115-$B$2,0),""))</f>
        <v/>
      </c>
      <c r="S115" s="15" t="str">
        <f aca="false">IF(OR($C115="",$AA115="Open"),"",IF($L115="Closed",-IF($E115="Sell to open",1,-1)*$N115*$E$2*$H115,0))</f>
        <v/>
      </c>
      <c r="T115" s="15" t="str">
        <f aca="false">IF(OR($C115="",$AA115="Open"),"",$O115+$S115-$K115)</f>
        <v/>
      </c>
      <c r="U115" s="15" t="str">
        <f aca="false">IF(OR($C115="",$AA115="Open"),"",IF(AND($C115="Covered call",$L115="Assigned"),($F115-$J115)*$E$2*$H115,0))</f>
        <v/>
      </c>
      <c r="V115" s="15" t="str">
        <f aca="false">IF(OR($C115="",$AA115="Open"),"",$T115+$U115)</f>
        <v/>
      </c>
      <c r="W115" s="15" t="str">
        <f aca="false">IF($C115="","",IF(OR($C115="Long call",$C115="Long put"),$I115*$E$2*$H115,(IF($C115="Covered call",$J115,$F115)-$I115)*$E$2*$H115))</f>
        <v/>
      </c>
      <c r="X115" s="17" t="str">
        <f aca="false">IF(OR($C115="",$AA115="Open"),"",IF($W115&gt;0,$V115/$W115,""))</f>
        <v/>
      </c>
      <c r="Y115" s="17" t="str">
        <f aca="false">IF(OR($C115="",$AA115="Open"),"",IF($W115&gt;0,$X115*365/MAX($Q115,1),""))</f>
        <v/>
      </c>
      <c r="Z115" s="18" t="str">
        <f aca="false">IF(OR($C115="",$AA115="Open"),"",IF($M115&lt;&gt;"",$M115,$G115))</f>
        <v/>
      </c>
      <c r="AA115" s="12" t="str">
        <f aca="false">IF($C115="","",IF(OR($L115="Open",$L115=""),"Open","Realized"))</f>
        <v/>
      </c>
    </row>
    <row r="116" customFormat="false" ht="15" hidden="false" customHeight="false" outlineLevel="0" collapsed="false">
      <c r="A116" s="7"/>
      <c r="B116" s="9"/>
      <c r="C116" s="9"/>
      <c r="D116" s="12" t="str">
        <f aca="false">IF($C116="","",IF(OR($C116="Long call",$C116="Covered call"),"Call","Put"))</f>
        <v/>
      </c>
      <c r="E116" s="12" t="str">
        <f aca="false">IF($C116="","",IF(OR($C116="Long call",$C116="Long put"),"Buy to open","Sell to open"))</f>
        <v/>
      </c>
      <c r="F116" s="13"/>
      <c r="G116" s="7"/>
      <c r="H116" s="14"/>
      <c r="I116" s="13"/>
      <c r="J116" s="13"/>
      <c r="K116" s="13"/>
      <c r="L116" s="9"/>
      <c r="M116" s="7"/>
      <c r="N116" s="13"/>
      <c r="O116" s="15" t="str">
        <f aca="false">IF($C116="","",IF($E116="Sell to open",1,-1)*$I116*$E$2*$H116)</f>
        <v/>
      </c>
      <c r="P116" s="15" t="str">
        <f aca="false">IF($C116="","",IF($C116="Long call",$F116+$I116,IF($C116="Covered call",$J116-$I116,$F116-$I116)))</f>
        <v/>
      </c>
      <c r="Q116" s="16" t="str">
        <f aca="false">IF($C116="","",IF($AA116="Open",$B$2,IF($M116&lt;&gt;"",$M116,$G116))-$A116)</f>
        <v/>
      </c>
      <c r="R116" s="16" t="str">
        <f aca="false">IF($C116="","",IF($AA116="Open",MAX($G116-$B$2,0),""))</f>
        <v/>
      </c>
      <c r="S116" s="15" t="str">
        <f aca="false">IF(OR($C116="",$AA116="Open"),"",IF($L116="Closed",-IF($E116="Sell to open",1,-1)*$N116*$E$2*$H116,0))</f>
        <v/>
      </c>
      <c r="T116" s="15" t="str">
        <f aca="false">IF(OR($C116="",$AA116="Open"),"",$O116+$S116-$K116)</f>
        <v/>
      </c>
      <c r="U116" s="15" t="str">
        <f aca="false">IF(OR($C116="",$AA116="Open"),"",IF(AND($C116="Covered call",$L116="Assigned"),($F116-$J116)*$E$2*$H116,0))</f>
        <v/>
      </c>
      <c r="V116" s="15" t="str">
        <f aca="false">IF(OR($C116="",$AA116="Open"),"",$T116+$U116)</f>
        <v/>
      </c>
      <c r="W116" s="15" t="str">
        <f aca="false">IF($C116="","",IF(OR($C116="Long call",$C116="Long put"),$I116*$E$2*$H116,(IF($C116="Covered call",$J116,$F116)-$I116)*$E$2*$H116))</f>
        <v/>
      </c>
      <c r="X116" s="17" t="str">
        <f aca="false">IF(OR($C116="",$AA116="Open"),"",IF($W116&gt;0,$V116/$W116,""))</f>
        <v/>
      </c>
      <c r="Y116" s="17" t="str">
        <f aca="false">IF(OR($C116="",$AA116="Open"),"",IF($W116&gt;0,$X116*365/MAX($Q116,1),""))</f>
        <v/>
      </c>
      <c r="Z116" s="18" t="str">
        <f aca="false">IF(OR($C116="",$AA116="Open"),"",IF($M116&lt;&gt;"",$M116,$G116))</f>
        <v/>
      </c>
      <c r="AA116" s="12" t="str">
        <f aca="false">IF($C116="","",IF(OR($L116="Open",$L116=""),"Open","Realized"))</f>
        <v/>
      </c>
    </row>
    <row r="117" customFormat="false" ht="15" hidden="false" customHeight="false" outlineLevel="0" collapsed="false">
      <c r="A117" s="7"/>
      <c r="B117" s="9"/>
      <c r="C117" s="9"/>
      <c r="D117" s="12" t="str">
        <f aca="false">IF($C117="","",IF(OR($C117="Long call",$C117="Covered call"),"Call","Put"))</f>
        <v/>
      </c>
      <c r="E117" s="12" t="str">
        <f aca="false">IF($C117="","",IF(OR($C117="Long call",$C117="Long put"),"Buy to open","Sell to open"))</f>
        <v/>
      </c>
      <c r="F117" s="13"/>
      <c r="G117" s="7"/>
      <c r="H117" s="14"/>
      <c r="I117" s="13"/>
      <c r="J117" s="13"/>
      <c r="K117" s="13"/>
      <c r="L117" s="9"/>
      <c r="M117" s="7"/>
      <c r="N117" s="13"/>
      <c r="O117" s="15" t="str">
        <f aca="false">IF($C117="","",IF($E117="Sell to open",1,-1)*$I117*$E$2*$H117)</f>
        <v/>
      </c>
      <c r="P117" s="15" t="str">
        <f aca="false">IF($C117="","",IF($C117="Long call",$F117+$I117,IF($C117="Covered call",$J117-$I117,$F117-$I117)))</f>
        <v/>
      </c>
      <c r="Q117" s="16" t="str">
        <f aca="false">IF($C117="","",IF($AA117="Open",$B$2,IF($M117&lt;&gt;"",$M117,$G117))-$A117)</f>
        <v/>
      </c>
      <c r="R117" s="16" t="str">
        <f aca="false">IF($C117="","",IF($AA117="Open",MAX($G117-$B$2,0),""))</f>
        <v/>
      </c>
      <c r="S117" s="15" t="str">
        <f aca="false">IF(OR($C117="",$AA117="Open"),"",IF($L117="Closed",-IF($E117="Sell to open",1,-1)*$N117*$E$2*$H117,0))</f>
        <v/>
      </c>
      <c r="T117" s="15" t="str">
        <f aca="false">IF(OR($C117="",$AA117="Open"),"",$O117+$S117-$K117)</f>
        <v/>
      </c>
      <c r="U117" s="15" t="str">
        <f aca="false">IF(OR($C117="",$AA117="Open"),"",IF(AND($C117="Covered call",$L117="Assigned"),($F117-$J117)*$E$2*$H117,0))</f>
        <v/>
      </c>
      <c r="V117" s="15" t="str">
        <f aca="false">IF(OR($C117="",$AA117="Open"),"",$T117+$U117)</f>
        <v/>
      </c>
      <c r="W117" s="15" t="str">
        <f aca="false">IF($C117="","",IF(OR($C117="Long call",$C117="Long put"),$I117*$E$2*$H117,(IF($C117="Covered call",$J117,$F117)-$I117)*$E$2*$H117))</f>
        <v/>
      </c>
      <c r="X117" s="17" t="str">
        <f aca="false">IF(OR($C117="",$AA117="Open"),"",IF($W117&gt;0,$V117/$W117,""))</f>
        <v/>
      </c>
      <c r="Y117" s="17" t="str">
        <f aca="false">IF(OR($C117="",$AA117="Open"),"",IF($W117&gt;0,$X117*365/MAX($Q117,1),""))</f>
        <v/>
      </c>
      <c r="Z117" s="18" t="str">
        <f aca="false">IF(OR($C117="",$AA117="Open"),"",IF($M117&lt;&gt;"",$M117,$G117))</f>
        <v/>
      </c>
      <c r="AA117" s="12" t="str">
        <f aca="false">IF($C117="","",IF(OR($L117="Open",$L117=""),"Open","Realized"))</f>
        <v/>
      </c>
    </row>
    <row r="118" customFormat="false" ht="15" hidden="false" customHeight="false" outlineLevel="0" collapsed="false">
      <c r="A118" s="7"/>
      <c r="B118" s="9"/>
      <c r="C118" s="9"/>
      <c r="D118" s="12" t="str">
        <f aca="false">IF($C118="","",IF(OR($C118="Long call",$C118="Covered call"),"Call","Put"))</f>
        <v/>
      </c>
      <c r="E118" s="12" t="str">
        <f aca="false">IF($C118="","",IF(OR($C118="Long call",$C118="Long put"),"Buy to open","Sell to open"))</f>
        <v/>
      </c>
      <c r="F118" s="13"/>
      <c r="G118" s="7"/>
      <c r="H118" s="14"/>
      <c r="I118" s="13"/>
      <c r="J118" s="13"/>
      <c r="K118" s="13"/>
      <c r="L118" s="9"/>
      <c r="M118" s="7"/>
      <c r="N118" s="13"/>
      <c r="O118" s="15" t="str">
        <f aca="false">IF($C118="","",IF($E118="Sell to open",1,-1)*$I118*$E$2*$H118)</f>
        <v/>
      </c>
      <c r="P118" s="15" t="str">
        <f aca="false">IF($C118="","",IF($C118="Long call",$F118+$I118,IF($C118="Covered call",$J118-$I118,$F118-$I118)))</f>
        <v/>
      </c>
      <c r="Q118" s="16" t="str">
        <f aca="false">IF($C118="","",IF($AA118="Open",$B$2,IF($M118&lt;&gt;"",$M118,$G118))-$A118)</f>
        <v/>
      </c>
      <c r="R118" s="16" t="str">
        <f aca="false">IF($C118="","",IF($AA118="Open",MAX($G118-$B$2,0),""))</f>
        <v/>
      </c>
      <c r="S118" s="15" t="str">
        <f aca="false">IF(OR($C118="",$AA118="Open"),"",IF($L118="Closed",-IF($E118="Sell to open",1,-1)*$N118*$E$2*$H118,0))</f>
        <v/>
      </c>
      <c r="T118" s="15" t="str">
        <f aca="false">IF(OR($C118="",$AA118="Open"),"",$O118+$S118-$K118)</f>
        <v/>
      </c>
      <c r="U118" s="15" t="str">
        <f aca="false">IF(OR($C118="",$AA118="Open"),"",IF(AND($C118="Covered call",$L118="Assigned"),($F118-$J118)*$E$2*$H118,0))</f>
        <v/>
      </c>
      <c r="V118" s="15" t="str">
        <f aca="false">IF(OR($C118="",$AA118="Open"),"",$T118+$U118)</f>
        <v/>
      </c>
      <c r="W118" s="15" t="str">
        <f aca="false">IF($C118="","",IF(OR($C118="Long call",$C118="Long put"),$I118*$E$2*$H118,(IF($C118="Covered call",$J118,$F118)-$I118)*$E$2*$H118))</f>
        <v/>
      </c>
      <c r="X118" s="17" t="str">
        <f aca="false">IF(OR($C118="",$AA118="Open"),"",IF($W118&gt;0,$V118/$W118,""))</f>
        <v/>
      </c>
      <c r="Y118" s="17" t="str">
        <f aca="false">IF(OR($C118="",$AA118="Open"),"",IF($W118&gt;0,$X118*365/MAX($Q118,1),""))</f>
        <v/>
      </c>
      <c r="Z118" s="18" t="str">
        <f aca="false">IF(OR($C118="",$AA118="Open"),"",IF($M118&lt;&gt;"",$M118,$G118))</f>
        <v/>
      </c>
      <c r="AA118" s="12" t="str">
        <f aca="false">IF($C118="","",IF(OR($L118="Open",$L118=""),"Open","Realized"))</f>
        <v/>
      </c>
    </row>
    <row r="119" customFormat="false" ht="15" hidden="false" customHeight="false" outlineLevel="0" collapsed="false">
      <c r="A119" s="7"/>
      <c r="B119" s="9"/>
      <c r="C119" s="9"/>
      <c r="D119" s="12" t="str">
        <f aca="false">IF($C119="","",IF(OR($C119="Long call",$C119="Covered call"),"Call","Put"))</f>
        <v/>
      </c>
      <c r="E119" s="12" t="str">
        <f aca="false">IF($C119="","",IF(OR($C119="Long call",$C119="Long put"),"Buy to open","Sell to open"))</f>
        <v/>
      </c>
      <c r="F119" s="13"/>
      <c r="G119" s="7"/>
      <c r="H119" s="14"/>
      <c r="I119" s="13"/>
      <c r="J119" s="13"/>
      <c r="K119" s="13"/>
      <c r="L119" s="9"/>
      <c r="M119" s="7"/>
      <c r="N119" s="13"/>
      <c r="O119" s="15" t="str">
        <f aca="false">IF($C119="","",IF($E119="Sell to open",1,-1)*$I119*$E$2*$H119)</f>
        <v/>
      </c>
      <c r="P119" s="15" t="str">
        <f aca="false">IF($C119="","",IF($C119="Long call",$F119+$I119,IF($C119="Covered call",$J119-$I119,$F119-$I119)))</f>
        <v/>
      </c>
      <c r="Q119" s="16" t="str">
        <f aca="false">IF($C119="","",IF($AA119="Open",$B$2,IF($M119&lt;&gt;"",$M119,$G119))-$A119)</f>
        <v/>
      </c>
      <c r="R119" s="16" t="str">
        <f aca="false">IF($C119="","",IF($AA119="Open",MAX($G119-$B$2,0),""))</f>
        <v/>
      </c>
      <c r="S119" s="15" t="str">
        <f aca="false">IF(OR($C119="",$AA119="Open"),"",IF($L119="Closed",-IF($E119="Sell to open",1,-1)*$N119*$E$2*$H119,0))</f>
        <v/>
      </c>
      <c r="T119" s="15" t="str">
        <f aca="false">IF(OR($C119="",$AA119="Open"),"",$O119+$S119-$K119)</f>
        <v/>
      </c>
      <c r="U119" s="15" t="str">
        <f aca="false">IF(OR($C119="",$AA119="Open"),"",IF(AND($C119="Covered call",$L119="Assigned"),($F119-$J119)*$E$2*$H119,0))</f>
        <v/>
      </c>
      <c r="V119" s="15" t="str">
        <f aca="false">IF(OR($C119="",$AA119="Open"),"",$T119+$U119)</f>
        <v/>
      </c>
      <c r="W119" s="15" t="str">
        <f aca="false">IF($C119="","",IF(OR($C119="Long call",$C119="Long put"),$I119*$E$2*$H119,(IF($C119="Covered call",$J119,$F119)-$I119)*$E$2*$H119))</f>
        <v/>
      </c>
      <c r="X119" s="17" t="str">
        <f aca="false">IF(OR($C119="",$AA119="Open"),"",IF($W119&gt;0,$V119/$W119,""))</f>
        <v/>
      </c>
      <c r="Y119" s="17" t="str">
        <f aca="false">IF(OR($C119="",$AA119="Open"),"",IF($W119&gt;0,$X119*365/MAX($Q119,1),""))</f>
        <v/>
      </c>
      <c r="Z119" s="18" t="str">
        <f aca="false">IF(OR($C119="",$AA119="Open"),"",IF($M119&lt;&gt;"",$M119,$G119))</f>
        <v/>
      </c>
      <c r="AA119" s="12" t="str">
        <f aca="false">IF($C119="","",IF(OR($L119="Open",$L119=""),"Open","Realized"))</f>
        <v/>
      </c>
    </row>
    <row r="120" customFormat="false" ht="15" hidden="false" customHeight="false" outlineLevel="0" collapsed="false">
      <c r="A120" s="7"/>
      <c r="B120" s="9"/>
      <c r="C120" s="9"/>
      <c r="D120" s="12" t="str">
        <f aca="false">IF($C120="","",IF(OR($C120="Long call",$C120="Covered call"),"Call","Put"))</f>
        <v/>
      </c>
      <c r="E120" s="12" t="str">
        <f aca="false">IF($C120="","",IF(OR($C120="Long call",$C120="Long put"),"Buy to open","Sell to open"))</f>
        <v/>
      </c>
      <c r="F120" s="13"/>
      <c r="G120" s="7"/>
      <c r="H120" s="14"/>
      <c r="I120" s="13"/>
      <c r="J120" s="13"/>
      <c r="K120" s="13"/>
      <c r="L120" s="9"/>
      <c r="M120" s="7"/>
      <c r="N120" s="13"/>
      <c r="O120" s="15" t="str">
        <f aca="false">IF($C120="","",IF($E120="Sell to open",1,-1)*$I120*$E$2*$H120)</f>
        <v/>
      </c>
      <c r="P120" s="15" t="str">
        <f aca="false">IF($C120="","",IF($C120="Long call",$F120+$I120,IF($C120="Covered call",$J120-$I120,$F120-$I120)))</f>
        <v/>
      </c>
      <c r="Q120" s="16" t="str">
        <f aca="false">IF($C120="","",IF($AA120="Open",$B$2,IF($M120&lt;&gt;"",$M120,$G120))-$A120)</f>
        <v/>
      </c>
      <c r="R120" s="16" t="str">
        <f aca="false">IF($C120="","",IF($AA120="Open",MAX($G120-$B$2,0),""))</f>
        <v/>
      </c>
      <c r="S120" s="15" t="str">
        <f aca="false">IF(OR($C120="",$AA120="Open"),"",IF($L120="Closed",-IF($E120="Sell to open",1,-1)*$N120*$E$2*$H120,0))</f>
        <v/>
      </c>
      <c r="T120" s="15" t="str">
        <f aca="false">IF(OR($C120="",$AA120="Open"),"",$O120+$S120-$K120)</f>
        <v/>
      </c>
      <c r="U120" s="15" t="str">
        <f aca="false">IF(OR($C120="",$AA120="Open"),"",IF(AND($C120="Covered call",$L120="Assigned"),($F120-$J120)*$E$2*$H120,0))</f>
        <v/>
      </c>
      <c r="V120" s="15" t="str">
        <f aca="false">IF(OR($C120="",$AA120="Open"),"",$T120+$U120)</f>
        <v/>
      </c>
      <c r="W120" s="15" t="str">
        <f aca="false">IF($C120="","",IF(OR($C120="Long call",$C120="Long put"),$I120*$E$2*$H120,(IF($C120="Covered call",$J120,$F120)-$I120)*$E$2*$H120))</f>
        <v/>
      </c>
      <c r="X120" s="17" t="str">
        <f aca="false">IF(OR($C120="",$AA120="Open"),"",IF($W120&gt;0,$V120/$W120,""))</f>
        <v/>
      </c>
      <c r="Y120" s="17" t="str">
        <f aca="false">IF(OR($C120="",$AA120="Open"),"",IF($W120&gt;0,$X120*365/MAX($Q120,1),""))</f>
        <v/>
      </c>
      <c r="Z120" s="18" t="str">
        <f aca="false">IF(OR($C120="",$AA120="Open"),"",IF($M120&lt;&gt;"",$M120,$G120))</f>
        <v/>
      </c>
      <c r="AA120" s="12" t="str">
        <f aca="false">IF($C120="","",IF(OR($L120="Open",$L120=""),"Open","Realized"))</f>
        <v/>
      </c>
    </row>
    <row r="121" customFormat="false" ht="15" hidden="false" customHeight="false" outlineLevel="0" collapsed="false">
      <c r="A121" s="7"/>
      <c r="B121" s="9"/>
      <c r="C121" s="9"/>
      <c r="D121" s="12" t="str">
        <f aca="false">IF($C121="","",IF(OR($C121="Long call",$C121="Covered call"),"Call","Put"))</f>
        <v/>
      </c>
      <c r="E121" s="12" t="str">
        <f aca="false">IF($C121="","",IF(OR($C121="Long call",$C121="Long put"),"Buy to open","Sell to open"))</f>
        <v/>
      </c>
      <c r="F121" s="13"/>
      <c r="G121" s="7"/>
      <c r="H121" s="14"/>
      <c r="I121" s="13"/>
      <c r="J121" s="13"/>
      <c r="K121" s="13"/>
      <c r="L121" s="9"/>
      <c r="M121" s="7"/>
      <c r="N121" s="13"/>
      <c r="O121" s="15" t="str">
        <f aca="false">IF($C121="","",IF($E121="Sell to open",1,-1)*$I121*$E$2*$H121)</f>
        <v/>
      </c>
      <c r="P121" s="15" t="str">
        <f aca="false">IF($C121="","",IF($C121="Long call",$F121+$I121,IF($C121="Covered call",$J121-$I121,$F121-$I121)))</f>
        <v/>
      </c>
      <c r="Q121" s="16" t="str">
        <f aca="false">IF($C121="","",IF($AA121="Open",$B$2,IF($M121&lt;&gt;"",$M121,$G121))-$A121)</f>
        <v/>
      </c>
      <c r="R121" s="16" t="str">
        <f aca="false">IF($C121="","",IF($AA121="Open",MAX($G121-$B$2,0),""))</f>
        <v/>
      </c>
      <c r="S121" s="15" t="str">
        <f aca="false">IF(OR($C121="",$AA121="Open"),"",IF($L121="Closed",-IF($E121="Sell to open",1,-1)*$N121*$E$2*$H121,0))</f>
        <v/>
      </c>
      <c r="T121" s="15" t="str">
        <f aca="false">IF(OR($C121="",$AA121="Open"),"",$O121+$S121-$K121)</f>
        <v/>
      </c>
      <c r="U121" s="15" t="str">
        <f aca="false">IF(OR($C121="",$AA121="Open"),"",IF(AND($C121="Covered call",$L121="Assigned"),($F121-$J121)*$E$2*$H121,0))</f>
        <v/>
      </c>
      <c r="V121" s="15" t="str">
        <f aca="false">IF(OR($C121="",$AA121="Open"),"",$T121+$U121)</f>
        <v/>
      </c>
      <c r="W121" s="15" t="str">
        <f aca="false">IF($C121="","",IF(OR($C121="Long call",$C121="Long put"),$I121*$E$2*$H121,(IF($C121="Covered call",$J121,$F121)-$I121)*$E$2*$H121))</f>
        <v/>
      </c>
      <c r="X121" s="17" t="str">
        <f aca="false">IF(OR($C121="",$AA121="Open"),"",IF($W121&gt;0,$V121/$W121,""))</f>
        <v/>
      </c>
      <c r="Y121" s="17" t="str">
        <f aca="false">IF(OR($C121="",$AA121="Open"),"",IF($W121&gt;0,$X121*365/MAX($Q121,1),""))</f>
        <v/>
      </c>
      <c r="Z121" s="18" t="str">
        <f aca="false">IF(OR($C121="",$AA121="Open"),"",IF($M121&lt;&gt;"",$M121,$G121))</f>
        <v/>
      </c>
      <c r="AA121" s="12" t="str">
        <f aca="false">IF($C121="","",IF(OR($L121="Open",$L121=""),"Open","Realized"))</f>
        <v/>
      </c>
    </row>
    <row r="122" customFormat="false" ht="15" hidden="false" customHeight="false" outlineLevel="0" collapsed="false">
      <c r="A122" s="7"/>
      <c r="B122" s="9"/>
      <c r="C122" s="9"/>
      <c r="D122" s="12" t="str">
        <f aca="false">IF($C122="","",IF(OR($C122="Long call",$C122="Covered call"),"Call","Put"))</f>
        <v/>
      </c>
      <c r="E122" s="12" t="str">
        <f aca="false">IF($C122="","",IF(OR($C122="Long call",$C122="Long put"),"Buy to open","Sell to open"))</f>
        <v/>
      </c>
      <c r="F122" s="13"/>
      <c r="G122" s="7"/>
      <c r="H122" s="14"/>
      <c r="I122" s="13"/>
      <c r="J122" s="13"/>
      <c r="K122" s="13"/>
      <c r="L122" s="9"/>
      <c r="M122" s="7"/>
      <c r="N122" s="13"/>
      <c r="O122" s="15" t="str">
        <f aca="false">IF($C122="","",IF($E122="Sell to open",1,-1)*$I122*$E$2*$H122)</f>
        <v/>
      </c>
      <c r="P122" s="15" t="str">
        <f aca="false">IF($C122="","",IF($C122="Long call",$F122+$I122,IF($C122="Covered call",$J122-$I122,$F122-$I122)))</f>
        <v/>
      </c>
      <c r="Q122" s="16" t="str">
        <f aca="false">IF($C122="","",IF($AA122="Open",$B$2,IF($M122&lt;&gt;"",$M122,$G122))-$A122)</f>
        <v/>
      </c>
      <c r="R122" s="16" t="str">
        <f aca="false">IF($C122="","",IF($AA122="Open",MAX($G122-$B$2,0),""))</f>
        <v/>
      </c>
      <c r="S122" s="15" t="str">
        <f aca="false">IF(OR($C122="",$AA122="Open"),"",IF($L122="Closed",-IF($E122="Sell to open",1,-1)*$N122*$E$2*$H122,0))</f>
        <v/>
      </c>
      <c r="T122" s="15" t="str">
        <f aca="false">IF(OR($C122="",$AA122="Open"),"",$O122+$S122-$K122)</f>
        <v/>
      </c>
      <c r="U122" s="15" t="str">
        <f aca="false">IF(OR($C122="",$AA122="Open"),"",IF(AND($C122="Covered call",$L122="Assigned"),($F122-$J122)*$E$2*$H122,0))</f>
        <v/>
      </c>
      <c r="V122" s="15" t="str">
        <f aca="false">IF(OR($C122="",$AA122="Open"),"",$T122+$U122)</f>
        <v/>
      </c>
      <c r="W122" s="15" t="str">
        <f aca="false">IF($C122="","",IF(OR($C122="Long call",$C122="Long put"),$I122*$E$2*$H122,(IF($C122="Covered call",$J122,$F122)-$I122)*$E$2*$H122))</f>
        <v/>
      </c>
      <c r="X122" s="17" t="str">
        <f aca="false">IF(OR($C122="",$AA122="Open"),"",IF($W122&gt;0,$V122/$W122,""))</f>
        <v/>
      </c>
      <c r="Y122" s="17" t="str">
        <f aca="false">IF(OR($C122="",$AA122="Open"),"",IF($W122&gt;0,$X122*365/MAX($Q122,1),""))</f>
        <v/>
      </c>
      <c r="Z122" s="18" t="str">
        <f aca="false">IF(OR($C122="",$AA122="Open"),"",IF($M122&lt;&gt;"",$M122,$G122))</f>
        <v/>
      </c>
      <c r="AA122" s="12" t="str">
        <f aca="false">IF($C122="","",IF(OR($L122="Open",$L122=""),"Open","Realized"))</f>
        <v/>
      </c>
    </row>
    <row r="123" customFormat="false" ht="15" hidden="false" customHeight="false" outlineLevel="0" collapsed="false">
      <c r="A123" s="7"/>
      <c r="B123" s="9"/>
      <c r="C123" s="9"/>
      <c r="D123" s="12" t="str">
        <f aca="false">IF($C123="","",IF(OR($C123="Long call",$C123="Covered call"),"Call","Put"))</f>
        <v/>
      </c>
      <c r="E123" s="12" t="str">
        <f aca="false">IF($C123="","",IF(OR($C123="Long call",$C123="Long put"),"Buy to open","Sell to open"))</f>
        <v/>
      </c>
      <c r="F123" s="13"/>
      <c r="G123" s="7"/>
      <c r="H123" s="14"/>
      <c r="I123" s="13"/>
      <c r="J123" s="13"/>
      <c r="K123" s="13"/>
      <c r="L123" s="9"/>
      <c r="M123" s="7"/>
      <c r="N123" s="13"/>
      <c r="O123" s="15" t="str">
        <f aca="false">IF($C123="","",IF($E123="Sell to open",1,-1)*$I123*$E$2*$H123)</f>
        <v/>
      </c>
      <c r="P123" s="15" t="str">
        <f aca="false">IF($C123="","",IF($C123="Long call",$F123+$I123,IF($C123="Covered call",$J123-$I123,$F123-$I123)))</f>
        <v/>
      </c>
      <c r="Q123" s="16" t="str">
        <f aca="false">IF($C123="","",IF($AA123="Open",$B$2,IF($M123&lt;&gt;"",$M123,$G123))-$A123)</f>
        <v/>
      </c>
      <c r="R123" s="16" t="str">
        <f aca="false">IF($C123="","",IF($AA123="Open",MAX($G123-$B$2,0),""))</f>
        <v/>
      </c>
      <c r="S123" s="15" t="str">
        <f aca="false">IF(OR($C123="",$AA123="Open"),"",IF($L123="Closed",-IF($E123="Sell to open",1,-1)*$N123*$E$2*$H123,0))</f>
        <v/>
      </c>
      <c r="T123" s="15" t="str">
        <f aca="false">IF(OR($C123="",$AA123="Open"),"",$O123+$S123-$K123)</f>
        <v/>
      </c>
      <c r="U123" s="15" t="str">
        <f aca="false">IF(OR($C123="",$AA123="Open"),"",IF(AND($C123="Covered call",$L123="Assigned"),($F123-$J123)*$E$2*$H123,0))</f>
        <v/>
      </c>
      <c r="V123" s="15" t="str">
        <f aca="false">IF(OR($C123="",$AA123="Open"),"",$T123+$U123)</f>
        <v/>
      </c>
      <c r="W123" s="15" t="str">
        <f aca="false">IF($C123="","",IF(OR($C123="Long call",$C123="Long put"),$I123*$E$2*$H123,(IF($C123="Covered call",$J123,$F123)-$I123)*$E$2*$H123))</f>
        <v/>
      </c>
      <c r="X123" s="17" t="str">
        <f aca="false">IF(OR($C123="",$AA123="Open"),"",IF($W123&gt;0,$V123/$W123,""))</f>
        <v/>
      </c>
      <c r="Y123" s="17" t="str">
        <f aca="false">IF(OR($C123="",$AA123="Open"),"",IF($W123&gt;0,$X123*365/MAX($Q123,1),""))</f>
        <v/>
      </c>
      <c r="Z123" s="18" t="str">
        <f aca="false">IF(OR($C123="",$AA123="Open"),"",IF($M123&lt;&gt;"",$M123,$G123))</f>
        <v/>
      </c>
      <c r="AA123" s="12" t="str">
        <f aca="false">IF($C123="","",IF(OR($L123="Open",$L123=""),"Open","Realized"))</f>
        <v/>
      </c>
    </row>
    <row r="124" customFormat="false" ht="15" hidden="false" customHeight="false" outlineLevel="0" collapsed="false">
      <c r="A124" s="7"/>
      <c r="B124" s="9"/>
      <c r="C124" s="9"/>
      <c r="D124" s="12" t="str">
        <f aca="false">IF($C124="","",IF(OR($C124="Long call",$C124="Covered call"),"Call","Put"))</f>
        <v/>
      </c>
      <c r="E124" s="12" t="str">
        <f aca="false">IF($C124="","",IF(OR($C124="Long call",$C124="Long put"),"Buy to open","Sell to open"))</f>
        <v/>
      </c>
      <c r="F124" s="13"/>
      <c r="G124" s="7"/>
      <c r="H124" s="14"/>
      <c r="I124" s="13"/>
      <c r="J124" s="13"/>
      <c r="K124" s="13"/>
      <c r="L124" s="9"/>
      <c r="M124" s="7"/>
      <c r="N124" s="13"/>
      <c r="O124" s="15" t="str">
        <f aca="false">IF($C124="","",IF($E124="Sell to open",1,-1)*$I124*$E$2*$H124)</f>
        <v/>
      </c>
      <c r="P124" s="15" t="str">
        <f aca="false">IF($C124="","",IF($C124="Long call",$F124+$I124,IF($C124="Covered call",$J124-$I124,$F124-$I124)))</f>
        <v/>
      </c>
      <c r="Q124" s="16" t="str">
        <f aca="false">IF($C124="","",IF($AA124="Open",$B$2,IF($M124&lt;&gt;"",$M124,$G124))-$A124)</f>
        <v/>
      </c>
      <c r="R124" s="16" t="str">
        <f aca="false">IF($C124="","",IF($AA124="Open",MAX($G124-$B$2,0),""))</f>
        <v/>
      </c>
      <c r="S124" s="15" t="str">
        <f aca="false">IF(OR($C124="",$AA124="Open"),"",IF($L124="Closed",-IF($E124="Sell to open",1,-1)*$N124*$E$2*$H124,0))</f>
        <v/>
      </c>
      <c r="T124" s="15" t="str">
        <f aca="false">IF(OR($C124="",$AA124="Open"),"",$O124+$S124-$K124)</f>
        <v/>
      </c>
      <c r="U124" s="15" t="str">
        <f aca="false">IF(OR($C124="",$AA124="Open"),"",IF(AND($C124="Covered call",$L124="Assigned"),($F124-$J124)*$E$2*$H124,0))</f>
        <v/>
      </c>
      <c r="V124" s="15" t="str">
        <f aca="false">IF(OR($C124="",$AA124="Open"),"",$T124+$U124)</f>
        <v/>
      </c>
      <c r="W124" s="15" t="str">
        <f aca="false">IF($C124="","",IF(OR($C124="Long call",$C124="Long put"),$I124*$E$2*$H124,(IF($C124="Covered call",$J124,$F124)-$I124)*$E$2*$H124))</f>
        <v/>
      </c>
      <c r="X124" s="17" t="str">
        <f aca="false">IF(OR($C124="",$AA124="Open"),"",IF($W124&gt;0,$V124/$W124,""))</f>
        <v/>
      </c>
      <c r="Y124" s="17" t="str">
        <f aca="false">IF(OR($C124="",$AA124="Open"),"",IF($W124&gt;0,$X124*365/MAX($Q124,1),""))</f>
        <v/>
      </c>
      <c r="Z124" s="18" t="str">
        <f aca="false">IF(OR($C124="",$AA124="Open"),"",IF($M124&lt;&gt;"",$M124,$G124))</f>
        <v/>
      </c>
      <c r="AA124" s="12" t="str">
        <f aca="false">IF($C124="","",IF(OR($L124="Open",$L124=""),"Open","Realized"))</f>
        <v/>
      </c>
    </row>
    <row r="125" customFormat="false" ht="15" hidden="false" customHeight="false" outlineLevel="0" collapsed="false">
      <c r="A125" s="7"/>
      <c r="B125" s="9"/>
      <c r="C125" s="9"/>
      <c r="D125" s="12" t="str">
        <f aca="false">IF($C125="","",IF(OR($C125="Long call",$C125="Covered call"),"Call","Put"))</f>
        <v/>
      </c>
      <c r="E125" s="12" t="str">
        <f aca="false">IF($C125="","",IF(OR($C125="Long call",$C125="Long put"),"Buy to open","Sell to open"))</f>
        <v/>
      </c>
      <c r="F125" s="13"/>
      <c r="G125" s="7"/>
      <c r="H125" s="14"/>
      <c r="I125" s="13"/>
      <c r="J125" s="13"/>
      <c r="K125" s="13"/>
      <c r="L125" s="9"/>
      <c r="M125" s="7"/>
      <c r="N125" s="13"/>
      <c r="O125" s="15" t="str">
        <f aca="false">IF($C125="","",IF($E125="Sell to open",1,-1)*$I125*$E$2*$H125)</f>
        <v/>
      </c>
      <c r="P125" s="15" t="str">
        <f aca="false">IF($C125="","",IF($C125="Long call",$F125+$I125,IF($C125="Covered call",$J125-$I125,$F125-$I125)))</f>
        <v/>
      </c>
      <c r="Q125" s="16" t="str">
        <f aca="false">IF($C125="","",IF($AA125="Open",$B$2,IF($M125&lt;&gt;"",$M125,$G125))-$A125)</f>
        <v/>
      </c>
      <c r="R125" s="16" t="str">
        <f aca="false">IF($C125="","",IF($AA125="Open",MAX($G125-$B$2,0),""))</f>
        <v/>
      </c>
      <c r="S125" s="15" t="str">
        <f aca="false">IF(OR($C125="",$AA125="Open"),"",IF($L125="Closed",-IF($E125="Sell to open",1,-1)*$N125*$E$2*$H125,0))</f>
        <v/>
      </c>
      <c r="T125" s="15" t="str">
        <f aca="false">IF(OR($C125="",$AA125="Open"),"",$O125+$S125-$K125)</f>
        <v/>
      </c>
      <c r="U125" s="15" t="str">
        <f aca="false">IF(OR($C125="",$AA125="Open"),"",IF(AND($C125="Covered call",$L125="Assigned"),($F125-$J125)*$E$2*$H125,0))</f>
        <v/>
      </c>
      <c r="V125" s="15" t="str">
        <f aca="false">IF(OR($C125="",$AA125="Open"),"",$T125+$U125)</f>
        <v/>
      </c>
      <c r="W125" s="15" t="str">
        <f aca="false">IF($C125="","",IF(OR($C125="Long call",$C125="Long put"),$I125*$E$2*$H125,(IF($C125="Covered call",$J125,$F125)-$I125)*$E$2*$H125))</f>
        <v/>
      </c>
      <c r="X125" s="17" t="str">
        <f aca="false">IF(OR($C125="",$AA125="Open"),"",IF($W125&gt;0,$V125/$W125,""))</f>
        <v/>
      </c>
      <c r="Y125" s="17" t="str">
        <f aca="false">IF(OR($C125="",$AA125="Open"),"",IF($W125&gt;0,$X125*365/MAX($Q125,1),""))</f>
        <v/>
      </c>
      <c r="Z125" s="18" t="str">
        <f aca="false">IF(OR($C125="",$AA125="Open"),"",IF($M125&lt;&gt;"",$M125,$G125))</f>
        <v/>
      </c>
      <c r="AA125" s="12" t="str">
        <f aca="false">IF($C125="","",IF(OR($L125="Open",$L125=""),"Open","Realized"))</f>
        <v/>
      </c>
    </row>
    <row r="126" customFormat="false" ht="15" hidden="false" customHeight="false" outlineLevel="0" collapsed="false">
      <c r="A126" s="7"/>
      <c r="B126" s="9"/>
      <c r="C126" s="9"/>
      <c r="D126" s="12" t="str">
        <f aca="false">IF($C126="","",IF(OR($C126="Long call",$C126="Covered call"),"Call","Put"))</f>
        <v/>
      </c>
      <c r="E126" s="12" t="str">
        <f aca="false">IF($C126="","",IF(OR($C126="Long call",$C126="Long put"),"Buy to open","Sell to open"))</f>
        <v/>
      </c>
      <c r="F126" s="13"/>
      <c r="G126" s="7"/>
      <c r="H126" s="14"/>
      <c r="I126" s="13"/>
      <c r="J126" s="13"/>
      <c r="K126" s="13"/>
      <c r="L126" s="9"/>
      <c r="M126" s="7"/>
      <c r="N126" s="13"/>
      <c r="O126" s="15" t="str">
        <f aca="false">IF($C126="","",IF($E126="Sell to open",1,-1)*$I126*$E$2*$H126)</f>
        <v/>
      </c>
      <c r="P126" s="15" t="str">
        <f aca="false">IF($C126="","",IF($C126="Long call",$F126+$I126,IF($C126="Covered call",$J126-$I126,$F126-$I126)))</f>
        <v/>
      </c>
      <c r="Q126" s="16" t="str">
        <f aca="false">IF($C126="","",IF($AA126="Open",$B$2,IF($M126&lt;&gt;"",$M126,$G126))-$A126)</f>
        <v/>
      </c>
      <c r="R126" s="16" t="str">
        <f aca="false">IF($C126="","",IF($AA126="Open",MAX($G126-$B$2,0),""))</f>
        <v/>
      </c>
      <c r="S126" s="15" t="str">
        <f aca="false">IF(OR($C126="",$AA126="Open"),"",IF($L126="Closed",-IF($E126="Sell to open",1,-1)*$N126*$E$2*$H126,0))</f>
        <v/>
      </c>
      <c r="T126" s="15" t="str">
        <f aca="false">IF(OR($C126="",$AA126="Open"),"",$O126+$S126-$K126)</f>
        <v/>
      </c>
      <c r="U126" s="15" t="str">
        <f aca="false">IF(OR($C126="",$AA126="Open"),"",IF(AND($C126="Covered call",$L126="Assigned"),($F126-$J126)*$E$2*$H126,0))</f>
        <v/>
      </c>
      <c r="V126" s="15" t="str">
        <f aca="false">IF(OR($C126="",$AA126="Open"),"",$T126+$U126)</f>
        <v/>
      </c>
      <c r="W126" s="15" t="str">
        <f aca="false">IF($C126="","",IF(OR($C126="Long call",$C126="Long put"),$I126*$E$2*$H126,(IF($C126="Covered call",$J126,$F126)-$I126)*$E$2*$H126))</f>
        <v/>
      </c>
      <c r="X126" s="17" t="str">
        <f aca="false">IF(OR($C126="",$AA126="Open"),"",IF($W126&gt;0,$V126/$W126,""))</f>
        <v/>
      </c>
      <c r="Y126" s="17" t="str">
        <f aca="false">IF(OR($C126="",$AA126="Open"),"",IF($W126&gt;0,$X126*365/MAX($Q126,1),""))</f>
        <v/>
      </c>
      <c r="Z126" s="18" t="str">
        <f aca="false">IF(OR($C126="",$AA126="Open"),"",IF($M126&lt;&gt;"",$M126,$G126))</f>
        <v/>
      </c>
      <c r="AA126" s="12" t="str">
        <f aca="false">IF($C126="","",IF(OR($L126="Open",$L126=""),"Open","Realized"))</f>
        <v/>
      </c>
    </row>
    <row r="127" customFormat="false" ht="15" hidden="false" customHeight="false" outlineLevel="0" collapsed="false">
      <c r="A127" s="7"/>
      <c r="B127" s="9"/>
      <c r="C127" s="9"/>
      <c r="D127" s="12" t="str">
        <f aca="false">IF($C127="","",IF(OR($C127="Long call",$C127="Covered call"),"Call","Put"))</f>
        <v/>
      </c>
      <c r="E127" s="12" t="str">
        <f aca="false">IF($C127="","",IF(OR($C127="Long call",$C127="Long put"),"Buy to open","Sell to open"))</f>
        <v/>
      </c>
      <c r="F127" s="13"/>
      <c r="G127" s="7"/>
      <c r="H127" s="14"/>
      <c r="I127" s="13"/>
      <c r="J127" s="13"/>
      <c r="K127" s="13"/>
      <c r="L127" s="9"/>
      <c r="M127" s="7"/>
      <c r="N127" s="13"/>
      <c r="O127" s="15" t="str">
        <f aca="false">IF($C127="","",IF($E127="Sell to open",1,-1)*$I127*$E$2*$H127)</f>
        <v/>
      </c>
      <c r="P127" s="15" t="str">
        <f aca="false">IF($C127="","",IF($C127="Long call",$F127+$I127,IF($C127="Covered call",$J127-$I127,$F127-$I127)))</f>
        <v/>
      </c>
      <c r="Q127" s="16" t="str">
        <f aca="false">IF($C127="","",IF($AA127="Open",$B$2,IF($M127&lt;&gt;"",$M127,$G127))-$A127)</f>
        <v/>
      </c>
      <c r="R127" s="16" t="str">
        <f aca="false">IF($C127="","",IF($AA127="Open",MAX($G127-$B$2,0),""))</f>
        <v/>
      </c>
      <c r="S127" s="15" t="str">
        <f aca="false">IF(OR($C127="",$AA127="Open"),"",IF($L127="Closed",-IF($E127="Sell to open",1,-1)*$N127*$E$2*$H127,0))</f>
        <v/>
      </c>
      <c r="T127" s="15" t="str">
        <f aca="false">IF(OR($C127="",$AA127="Open"),"",$O127+$S127-$K127)</f>
        <v/>
      </c>
      <c r="U127" s="15" t="str">
        <f aca="false">IF(OR($C127="",$AA127="Open"),"",IF(AND($C127="Covered call",$L127="Assigned"),($F127-$J127)*$E$2*$H127,0))</f>
        <v/>
      </c>
      <c r="V127" s="15" t="str">
        <f aca="false">IF(OR($C127="",$AA127="Open"),"",$T127+$U127)</f>
        <v/>
      </c>
      <c r="W127" s="15" t="str">
        <f aca="false">IF($C127="","",IF(OR($C127="Long call",$C127="Long put"),$I127*$E$2*$H127,(IF($C127="Covered call",$J127,$F127)-$I127)*$E$2*$H127))</f>
        <v/>
      </c>
      <c r="X127" s="17" t="str">
        <f aca="false">IF(OR($C127="",$AA127="Open"),"",IF($W127&gt;0,$V127/$W127,""))</f>
        <v/>
      </c>
      <c r="Y127" s="17" t="str">
        <f aca="false">IF(OR($C127="",$AA127="Open"),"",IF($W127&gt;0,$X127*365/MAX($Q127,1),""))</f>
        <v/>
      </c>
      <c r="Z127" s="18" t="str">
        <f aca="false">IF(OR($C127="",$AA127="Open"),"",IF($M127&lt;&gt;"",$M127,$G127))</f>
        <v/>
      </c>
      <c r="AA127" s="12" t="str">
        <f aca="false">IF($C127="","",IF(OR($L127="Open",$L127=""),"Open","Realized"))</f>
        <v/>
      </c>
    </row>
    <row r="128" customFormat="false" ht="15" hidden="false" customHeight="false" outlineLevel="0" collapsed="false">
      <c r="A128" s="7"/>
      <c r="B128" s="9"/>
      <c r="C128" s="9"/>
      <c r="D128" s="12" t="str">
        <f aca="false">IF($C128="","",IF(OR($C128="Long call",$C128="Covered call"),"Call","Put"))</f>
        <v/>
      </c>
      <c r="E128" s="12" t="str">
        <f aca="false">IF($C128="","",IF(OR($C128="Long call",$C128="Long put"),"Buy to open","Sell to open"))</f>
        <v/>
      </c>
      <c r="F128" s="13"/>
      <c r="G128" s="7"/>
      <c r="H128" s="14"/>
      <c r="I128" s="13"/>
      <c r="J128" s="13"/>
      <c r="K128" s="13"/>
      <c r="L128" s="9"/>
      <c r="M128" s="7"/>
      <c r="N128" s="13"/>
      <c r="O128" s="15" t="str">
        <f aca="false">IF($C128="","",IF($E128="Sell to open",1,-1)*$I128*$E$2*$H128)</f>
        <v/>
      </c>
      <c r="P128" s="15" t="str">
        <f aca="false">IF($C128="","",IF($C128="Long call",$F128+$I128,IF($C128="Covered call",$J128-$I128,$F128-$I128)))</f>
        <v/>
      </c>
      <c r="Q128" s="16" t="str">
        <f aca="false">IF($C128="","",IF($AA128="Open",$B$2,IF($M128&lt;&gt;"",$M128,$G128))-$A128)</f>
        <v/>
      </c>
      <c r="R128" s="16" t="str">
        <f aca="false">IF($C128="","",IF($AA128="Open",MAX($G128-$B$2,0),""))</f>
        <v/>
      </c>
      <c r="S128" s="15" t="str">
        <f aca="false">IF(OR($C128="",$AA128="Open"),"",IF($L128="Closed",-IF($E128="Sell to open",1,-1)*$N128*$E$2*$H128,0))</f>
        <v/>
      </c>
      <c r="T128" s="15" t="str">
        <f aca="false">IF(OR($C128="",$AA128="Open"),"",$O128+$S128-$K128)</f>
        <v/>
      </c>
      <c r="U128" s="15" t="str">
        <f aca="false">IF(OR($C128="",$AA128="Open"),"",IF(AND($C128="Covered call",$L128="Assigned"),($F128-$J128)*$E$2*$H128,0))</f>
        <v/>
      </c>
      <c r="V128" s="15" t="str">
        <f aca="false">IF(OR($C128="",$AA128="Open"),"",$T128+$U128)</f>
        <v/>
      </c>
      <c r="W128" s="15" t="str">
        <f aca="false">IF($C128="","",IF(OR($C128="Long call",$C128="Long put"),$I128*$E$2*$H128,(IF($C128="Covered call",$J128,$F128)-$I128)*$E$2*$H128))</f>
        <v/>
      </c>
      <c r="X128" s="17" t="str">
        <f aca="false">IF(OR($C128="",$AA128="Open"),"",IF($W128&gt;0,$V128/$W128,""))</f>
        <v/>
      </c>
      <c r="Y128" s="17" t="str">
        <f aca="false">IF(OR($C128="",$AA128="Open"),"",IF($W128&gt;0,$X128*365/MAX($Q128,1),""))</f>
        <v/>
      </c>
      <c r="Z128" s="18" t="str">
        <f aca="false">IF(OR($C128="",$AA128="Open"),"",IF($M128&lt;&gt;"",$M128,$G128))</f>
        <v/>
      </c>
      <c r="AA128" s="12" t="str">
        <f aca="false">IF($C128="","",IF(OR($L128="Open",$L128=""),"Open","Realized"))</f>
        <v/>
      </c>
    </row>
    <row r="129" customFormat="false" ht="15" hidden="false" customHeight="false" outlineLevel="0" collapsed="false">
      <c r="A129" s="7"/>
      <c r="B129" s="9"/>
      <c r="C129" s="9"/>
      <c r="D129" s="12" t="str">
        <f aca="false">IF($C129="","",IF(OR($C129="Long call",$C129="Covered call"),"Call","Put"))</f>
        <v/>
      </c>
      <c r="E129" s="12" t="str">
        <f aca="false">IF($C129="","",IF(OR($C129="Long call",$C129="Long put"),"Buy to open","Sell to open"))</f>
        <v/>
      </c>
      <c r="F129" s="13"/>
      <c r="G129" s="7"/>
      <c r="H129" s="14"/>
      <c r="I129" s="13"/>
      <c r="J129" s="13"/>
      <c r="K129" s="13"/>
      <c r="L129" s="9"/>
      <c r="M129" s="7"/>
      <c r="N129" s="13"/>
      <c r="O129" s="15" t="str">
        <f aca="false">IF($C129="","",IF($E129="Sell to open",1,-1)*$I129*$E$2*$H129)</f>
        <v/>
      </c>
      <c r="P129" s="15" t="str">
        <f aca="false">IF($C129="","",IF($C129="Long call",$F129+$I129,IF($C129="Covered call",$J129-$I129,$F129-$I129)))</f>
        <v/>
      </c>
      <c r="Q129" s="16" t="str">
        <f aca="false">IF($C129="","",IF($AA129="Open",$B$2,IF($M129&lt;&gt;"",$M129,$G129))-$A129)</f>
        <v/>
      </c>
      <c r="R129" s="16" t="str">
        <f aca="false">IF($C129="","",IF($AA129="Open",MAX($G129-$B$2,0),""))</f>
        <v/>
      </c>
      <c r="S129" s="15" t="str">
        <f aca="false">IF(OR($C129="",$AA129="Open"),"",IF($L129="Closed",-IF($E129="Sell to open",1,-1)*$N129*$E$2*$H129,0))</f>
        <v/>
      </c>
      <c r="T129" s="15" t="str">
        <f aca="false">IF(OR($C129="",$AA129="Open"),"",$O129+$S129-$K129)</f>
        <v/>
      </c>
      <c r="U129" s="15" t="str">
        <f aca="false">IF(OR($C129="",$AA129="Open"),"",IF(AND($C129="Covered call",$L129="Assigned"),($F129-$J129)*$E$2*$H129,0))</f>
        <v/>
      </c>
      <c r="V129" s="15" t="str">
        <f aca="false">IF(OR($C129="",$AA129="Open"),"",$T129+$U129)</f>
        <v/>
      </c>
      <c r="W129" s="15" t="str">
        <f aca="false">IF($C129="","",IF(OR($C129="Long call",$C129="Long put"),$I129*$E$2*$H129,(IF($C129="Covered call",$J129,$F129)-$I129)*$E$2*$H129))</f>
        <v/>
      </c>
      <c r="X129" s="17" t="str">
        <f aca="false">IF(OR($C129="",$AA129="Open"),"",IF($W129&gt;0,$V129/$W129,""))</f>
        <v/>
      </c>
      <c r="Y129" s="17" t="str">
        <f aca="false">IF(OR($C129="",$AA129="Open"),"",IF($W129&gt;0,$X129*365/MAX($Q129,1),""))</f>
        <v/>
      </c>
      <c r="Z129" s="18" t="str">
        <f aca="false">IF(OR($C129="",$AA129="Open"),"",IF($M129&lt;&gt;"",$M129,$G129))</f>
        <v/>
      </c>
      <c r="AA129" s="12" t="str">
        <f aca="false">IF($C129="","",IF(OR($L129="Open",$L129=""),"Open","Realized"))</f>
        <v/>
      </c>
    </row>
    <row r="130" customFormat="false" ht="15" hidden="false" customHeight="false" outlineLevel="0" collapsed="false">
      <c r="A130" s="7"/>
      <c r="B130" s="9"/>
      <c r="C130" s="9"/>
      <c r="D130" s="12" t="str">
        <f aca="false">IF($C130="","",IF(OR($C130="Long call",$C130="Covered call"),"Call","Put"))</f>
        <v/>
      </c>
      <c r="E130" s="12" t="str">
        <f aca="false">IF($C130="","",IF(OR($C130="Long call",$C130="Long put"),"Buy to open","Sell to open"))</f>
        <v/>
      </c>
      <c r="F130" s="13"/>
      <c r="G130" s="7"/>
      <c r="H130" s="14"/>
      <c r="I130" s="13"/>
      <c r="J130" s="13"/>
      <c r="K130" s="13"/>
      <c r="L130" s="9"/>
      <c r="M130" s="7"/>
      <c r="N130" s="13"/>
      <c r="O130" s="15" t="str">
        <f aca="false">IF($C130="","",IF($E130="Sell to open",1,-1)*$I130*$E$2*$H130)</f>
        <v/>
      </c>
      <c r="P130" s="15" t="str">
        <f aca="false">IF($C130="","",IF($C130="Long call",$F130+$I130,IF($C130="Covered call",$J130-$I130,$F130-$I130)))</f>
        <v/>
      </c>
      <c r="Q130" s="16" t="str">
        <f aca="false">IF($C130="","",IF($AA130="Open",$B$2,IF($M130&lt;&gt;"",$M130,$G130))-$A130)</f>
        <v/>
      </c>
      <c r="R130" s="16" t="str">
        <f aca="false">IF($C130="","",IF($AA130="Open",MAX($G130-$B$2,0),""))</f>
        <v/>
      </c>
      <c r="S130" s="15" t="str">
        <f aca="false">IF(OR($C130="",$AA130="Open"),"",IF($L130="Closed",-IF($E130="Sell to open",1,-1)*$N130*$E$2*$H130,0))</f>
        <v/>
      </c>
      <c r="T130" s="15" t="str">
        <f aca="false">IF(OR($C130="",$AA130="Open"),"",$O130+$S130-$K130)</f>
        <v/>
      </c>
      <c r="U130" s="15" t="str">
        <f aca="false">IF(OR($C130="",$AA130="Open"),"",IF(AND($C130="Covered call",$L130="Assigned"),($F130-$J130)*$E$2*$H130,0))</f>
        <v/>
      </c>
      <c r="V130" s="15" t="str">
        <f aca="false">IF(OR($C130="",$AA130="Open"),"",$T130+$U130)</f>
        <v/>
      </c>
      <c r="W130" s="15" t="str">
        <f aca="false">IF($C130="","",IF(OR($C130="Long call",$C130="Long put"),$I130*$E$2*$H130,(IF($C130="Covered call",$J130,$F130)-$I130)*$E$2*$H130))</f>
        <v/>
      </c>
      <c r="X130" s="17" t="str">
        <f aca="false">IF(OR($C130="",$AA130="Open"),"",IF($W130&gt;0,$V130/$W130,""))</f>
        <v/>
      </c>
      <c r="Y130" s="17" t="str">
        <f aca="false">IF(OR($C130="",$AA130="Open"),"",IF($W130&gt;0,$X130*365/MAX($Q130,1),""))</f>
        <v/>
      </c>
      <c r="Z130" s="18" t="str">
        <f aca="false">IF(OR($C130="",$AA130="Open"),"",IF($M130&lt;&gt;"",$M130,$G130))</f>
        <v/>
      </c>
      <c r="AA130" s="12" t="str">
        <f aca="false">IF($C130="","",IF(OR($L130="Open",$L130=""),"Open","Realized"))</f>
        <v/>
      </c>
    </row>
    <row r="131" customFormat="false" ht="15" hidden="false" customHeight="false" outlineLevel="0" collapsed="false">
      <c r="A131" s="7"/>
      <c r="B131" s="9"/>
      <c r="C131" s="9"/>
      <c r="D131" s="12" t="str">
        <f aca="false">IF($C131="","",IF(OR($C131="Long call",$C131="Covered call"),"Call","Put"))</f>
        <v/>
      </c>
      <c r="E131" s="12" t="str">
        <f aca="false">IF($C131="","",IF(OR($C131="Long call",$C131="Long put"),"Buy to open","Sell to open"))</f>
        <v/>
      </c>
      <c r="F131" s="13"/>
      <c r="G131" s="7"/>
      <c r="H131" s="14"/>
      <c r="I131" s="13"/>
      <c r="J131" s="13"/>
      <c r="K131" s="13"/>
      <c r="L131" s="9"/>
      <c r="M131" s="7"/>
      <c r="N131" s="13"/>
      <c r="O131" s="15" t="str">
        <f aca="false">IF($C131="","",IF($E131="Sell to open",1,-1)*$I131*$E$2*$H131)</f>
        <v/>
      </c>
      <c r="P131" s="15" t="str">
        <f aca="false">IF($C131="","",IF($C131="Long call",$F131+$I131,IF($C131="Covered call",$J131-$I131,$F131-$I131)))</f>
        <v/>
      </c>
      <c r="Q131" s="16" t="str">
        <f aca="false">IF($C131="","",IF($AA131="Open",$B$2,IF($M131&lt;&gt;"",$M131,$G131))-$A131)</f>
        <v/>
      </c>
      <c r="R131" s="16" t="str">
        <f aca="false">IF($C131="","",IF($AA131="Open",MAX($G131-$B$2,0),""))</f>
        <v/>
      </c>
      <c r="S131" s="15" t="str">
        <f aca="false">IF(OR($C131="",$AA131="Open"),"",IF($L131="Closed",-IF($E131="Sell to open",1,-1)*$N131*$E$2*$H131,0))</f>
        <v/>
      </c>
      <c r="T131" s="15" t="str">
        <f aca="false">IF(OR($C131="",$AA131="Open"),"",$O131+$S131-$K131)</f>
        <v/>
      </c>
      <c r="U131" s="15" t="str">
        <f aca="false">IF(OR($C131="",$AA131="Open"),"",IF(AND($C131="Covered call",$L131="Assigned"),($F131-$J131)*$E$2*$H131,0))</f>
        <v/>
      </c>
      <c r="V131" s="15" t="str">
        <f aca="false">IF(OR($C131="",$AA131="Open"),"",$T131+$U131)</f>
        <v/>
      </c>
      <c r="W131" s="15" t="str">
        <f aca="false">IF($C131="","",IF(OR($C131="Long call",$C131="Long put"),$I131*$E$2*$H131,(IF($C131="Covered call",$J131,$F131)-$I131)*$E$2*$H131))</f>
        <v/>
      </c>
      <c r="X131" s="17" t="str">
        <f aca="false">IF(OR($C131="",$AA131="Open"),"",IF($W131&gt;0,$V131/$W131,""))</f>
        <v/>
      </c>
      <c r="Y131" s="17" t="str">
        <f aca="false">IF(OR($C131="",$AA131="Open"),"",IF($W131&gt;0,$X131*365/MAX($Q131,1),""))</f>
        <v/>
      </c>
      <c r="Z131" s="18" t="str">
        <f aca="false">IF(OR($C131="",$AA131="Open"),"",IF($M131&lt;&gt;"",$M131,$G131))</f>
        <v/>
      </c>
      <c r="AA131" s="12" t="str">
        <f aca="false">IF($C131="","",IF(OR($L131="Open",$L131=""),"Open","Realized"))</f>
        <v/>
      </c>
    </row>
    <row r="132" customFormat="false" ht="15" hidden="false" customHeight="false" outlineLevel="0" collapsed="false">
      <c r="A132" s="7"/>
      <c r="B132" s="9"/>
      <c r="C132" s="9"/>
      <c r="D132" s="12" t="str">
        <f aca="false">IF($C132="","",IF(OR($C132="Long call",$C132="Covered call"),"Call","Put"))</f>
        <v/>
      </c>
      <c r="E132" s="12" t="str">
        <f aca="false">IF($C132="","",IF(OR($C132="Long call",$C132="Long put"),"Buy to open","Sell to open"))</f>
        <v/>
      </c>
      <c r="F132" s="13"/>
      <c r="G132" s="7"/>
      <c r="H132" s="14"/>
      <c r="I132" s="13"/>
      <c r="J132" s="13"/>
      <c r="K132" s="13"/>
      <c r="L132" s="9"/>
      <c r="M132" s="7"/>
      <c r="N132" s="13"/>
      <c r="O132" s="15" t="str">
        <f aca="false">IF($C132="","",IF($E132="Sell to open",1,-1)*$I132*$E$2*$H132)</f>
        <v/>
      </c>
      <c r="P132" s="15" t="str">
        <f aca="false">IF($C132="","",IF($C132="Long call",$F132+$I132,IF($C132="Covered call",$J132-$I132,$F132-$I132)))</f>
        <v/>
      </c>
      <c r="Q132" s="16" t="str">
        <f aca="false">IF($C132="","",IF($AA132="Open",$B$2,IF($M132&lt;&gt;"",$M132,$G132))-$A132)</f>
        <v/>
      </c>
      <c r="R132" s="16" t="str">
        <f aca="false">IF($C132="","",IF($AA132="Open",MAX($G132-$B$2,0),""))</f>
        <v/>
      </c>
      <c r="S132" s="15" t="str">
        <f aca="false">IF(OR($C132="",$AA132="Open"),"",IF($L132="Closed",-IF($E132="Sell to open",1,-1)*$N132*$E$2*$H132,0))</f>
        <v/>
      </c>
      <c r="T132" s="15" t="str">
        <f aca="false">IF(OR($C132="",$AA132="Open"),"",$O132+$S132-$K132)</f>
        <v/>
      </c>
      <c r="U132" s="15" t="str">
        <f aca="false">IF(OR($C132="",$AA132="Open"),"",IF(AND($C132="Covered call",$L132="Assigned"),($F132-$J132)*$E$2*$H132,0))</f>
        <v/>
      </c>
      <c r="V132" s="15" t="str">
        <f aca="false">IF(OR($C132="",$AA132="Open"),"",$T132+$U132)</f>
        <v/>
      </c>
      <c r="W132" s="15" t="str">
        <f aca="false">IF($C132="","",IF(OR($C132="Long call",$C132="Long put"),$I132*$E$2*$H132,(IF($C132="Covered call",$J132,$F132)-$I132)*$E$2*$H132))</f>
        <v/>
      </c>
      <c r="X132" s="17" t="str">
        <f aca="false">IF(OR($C132="",$AA132="Open"),"",IF($W132&gt;0,$V132/$W132,""))</f>
        <v/>
      </c>
      <c r="Y132" s="17" t="str">
        <f aca="false">IF(OR($C132="",$AA132="Open"),"",IF($W132&gt;0,$X132*365/MAX($Q132,1),""))</f>
        <v/>
      </c>
      <c r="Z132" s="18" t="str">
        <f aca="false">IF(OR($C132="",$AA132="Open"),"",IF($M132&lt;&gt;"",$M132,$G132))</f>
        <v/>
      </c>
      <c r="AA132" s="12" t="str">
        <f aca="false">IF($C132="","",IF(OR($L132="Open",$L132=""),"Open","Realized"))</f>
        <v/>
      </c>
    </row>
    <row r="133" customFormat="false" ht="15" hidden="false" customHeight="false" outlineLevel="0" collapsed="false">
      <c r="A133" s="7"/>
      <c r="B133" s="9"/>
      <c r="C133" s="9"/>
      <c r="D133" s="12" t="str">
        <f aca="false">IF($C133="","",IF(OR($C133="Long call",$C133="Covered call"),"Call","Put"))</f>
        <v/>
      </c>
      <c r="E133" s="12" t="str">
        <f aca="false">IF($C133="","",IF(OR($C133="Long call",$C133="Long put"),"Buy to open","Sell to open"))</f>
        <v/>
      </c>
      <c r="F133" s="13"/>
      <c r="G133" s="7"/>
      <c r="H133" s="14"/>
      <c r="I133" s="13"/>
      <c r="J133" s="13"/>
      <c r="K133" s="13"/>
      <c r="L133" s="9"/>
      <c r="M133" s="7"/>
      <c r="N133" s="13"/>
      <c r="O133" s="15" t="str">
        <f aca="false">IF($C133="","",IF($E133="Sell to open",1,-1)*$I133*$E$2*$H133)</f>
        <v/>
      </c>
      <c r="P133" s="15" t="str">
        <f aca="false">IF($C133="","",IF($C133="Long call",$F133+$I133,IF($C133="Covered call",$J133-$I133,$F133-$I133)))</f>
        <v/>
      </c>
      <c r="Q133" s="16" t="str">
        <f aca="false">IF($C133="","",IF($AA133="Open",$B$2,IF($M133&lt;&gt;"",$M133,$G133))-$A133)</f>
        <v/>
      </c>
      <c r="R133" s="16" t="str">
        <f aca="false">IF($C133="","",IF($AA133="Open",MAX($G133-$B$2,0),""))</f>
        <v/>
      </c>
      <c r="S133" s="15" t="str">
        <f aca="false">IF(OR($C133="",$AA133="Open"),"",IF($L133="Closed",-IF($E133="Sell to open",1,-1)*$N133*$E$2*$H133,0))</f>
        <v/>
      </c>
      <c r="T133" s="15" t="str">
        <f aca="false">IF(OR($C133="",$AA133="Open"),"",$O133+$S133-$K133)</f>
        <v/>
      </c>
      <c r="U133" s="15" t="str">
        <f aca="false">IF(OR($C133="",$AA133="Open"),"",IF(AND($C133="Covered call",$L133="Assigned"),($F133-$J133)*$E$2*$H133,0))</f>
        <v/>
      </c>
      <c r="V133" s="15" t="str">
        <f aca="false">IF(OR($C133="",$AA133="Open"),"",$T133+$U133)</f>
        <v/>
      </c>
      <c r="W133" s="15" t="str">
        <f aca="false">IF($C133="","",IF(OR($C133="Long call",$C133="Long put"),$I133*$E$2*$H133,(IF($C133="Covered call",$J133,$F133)-$I133)*$E$2*$H133))</f>
        <v/>
      </c>
      <c r="X133" s="17" t="str">
        <f aca="false">IF(OR($C133="",$AA133="Open"),"",IF($W133&gt;0,$V133/$W133,""))</f>
        <v/>
      </c>
      <c r="Y133" s="17" t="str">
        <f aca="false">IF(OR($C133="",$AA133="Open"),"",IF($W133&gt;0,$X133*365/MAX($Q133,1),""))</f>
        <v/>
      </c>
      <c r="Z133" s="18" t="str">
        <f aca="false">IF(OR($C133="",$AA133="Open"),"",IF($M133&lt;&gt;"",$M133,$G133))</f>
        <v/>
      </c>
      <c r="AA133" s="12" t="str">
        <f aca="false">IF($C133="","",IF(OR($L133="Open",$L133=""),"Open","Realized"))</f>
        <v/>
      </c>
    </row>
    <row r="134" customFormat="false" ht="15" hidden="false" customHeight="false" outlineLevel="0" collapsed="false">
      <c r="A134" s="7"/>
      <c r="B134" s="9"/>
      <c r="C134" s="9"/>
      <c r="D134" s="12" t="str">
        <f aca="false">IF($C134="","",IF(OR($C134="Long call",$C134="Covered call"),"Call","Put"))</f>
        <v/>
      </c>
      <c r="E134" s="12" t="str">
        <f aca="false">IF($C134="","",IF(OR($C134="Long call",$C134="Long put"),"Buy to open","Sell to open"))</f>
        <v/>
      </c>
      <c r="F134" s="13"/>
      <c r="G134" s="7"/>
      <c r="H134" s="14"/>
      <c r="I134" s="13"/>
      <c r="J134" s="13"/>
      <c r="K134" s="13"/>
      <c r="L134" s="9"/>
      <c r="M134" s="7"/>
      <c r="N134" s="13"/>
      <c r="O134" s="15" t="str">
        <f aca="false">IF($C134="","",IF($E134="Sell to open",1,-1)*$I134*$E$2*$H134)</f>
        <v/>
      </c>
      <c r="P134" s="15" t="str">
        <f aca="false">IF($C134="","",IF($C134="Long call",$F134+$I134,IF($C134="Covered call",$J134-$I134,$F134-$I134)))</f>
        <v/>
      </c>
      <c r="Q134" s="16" t="str">
        <f aca="false">IF($C134="","",IF($AA134="Open",$B$2,IF($M134&lt;&gt;"",$M134,$G134))-$A134)</f>
        <v/>
      </c>
      <c r="R134" s="16" t="str">
        <f aca="false">IF($C134="","",IF($AA134="Open",MAX($G134-$B$2,0),""))</f>
        <v/>
      </c>
      <c r="S134" s="15" t="str">
        <f aca="false">IF(OR($C134="",$AA134="Open"),"",IF($L134="Closed",-IF($E134="Sell to open",1,-1)*$N134*$E$2*$H134,0))</f>
        <v/>
      </c>
      <c r="T134" s="15" t="str">
        <f aca="false">IF(OR($C134="",$AA134="Open"),"",$O134+$S134-$K134)</f>
        <v/>
      </c>
      <c r="U134" s="15" t="str">
        <f aca="false">IF(OR($C134="",$AA134="Open"),"",IF(AND($C134="Covered call",$L134="Assigned"),($F134-$J134)*$E$2*$H134,0))</f>
        <v/>
      </c>
      <c r="V134" s="15" t="str">
        <f aca="false">IF(OR($C134="",$AA134="Open"),"",$T134+$U134)</f>
        <v/>
      </c>
      <c r="W134" s="15" t="str">
        <f aca="false">IF($C134="","",IF(OR($C134="Long call",$C134="Long put"),$I134*$E$2*$H134,(IF($C134="Covered call",$J134,$F134)-$I134)*$E$2*$H134))</f>
        <v/>
      </c>
      <c r="X134" s="17" t="str">
        <f aca="false">IF(OR($C134="",$AA134="Open"),"",IF($W134&gt;0,$V134/$W134,""))</f>
        <v/>
      </c>
      <c r="Y134" s="17" t="str">
        <f aca="false">IF(OR($C134="",$AA134="Open"),"",IF($W134&gt;0,$X134*365/MAX($Q134,1),""))</f>
        <v/>
      </c>
      <c r="Z134" s="18" t="str">
        <f aca="false">IF(OR($C134="",$AA134="Open"),"",IF($M134&lt;&gt;"",$M134,$G134))</f>
        <v/>
      </c>
      <c r="AA134" s="12" t="str">
        <f aca="false">IF($C134="","",IF(OR($L134="Open",$L134=""),"Open","Realized"))</f>
        <v/>
      </c>
    </row>
    <row r="135" customFormat="false" ht="15" hidden="false" customHeight="false" outlineLevel="0" collapsed="false">
      <c r="A135" s="7"/>
      <c r="B135" s="9"/>
      <c r="C135" s="9"/>
      <c r="D135" s="12" t="str">
        <f aca="false">IF($C135="","",IF(OR($C135="Long call",$C135="Covered call"),"Call","Put"))</f>
        <v/>
      </c>
      <c r="E135" s="12" t="str">
        <f aca="false">IF($C135="","",IF(OR($C135="Long call",$C135="Long put"),"Buy to open","Sell to open"))</f>
        <v/>
      </c>
      <c r="F135" s="13"/>
      <c r="G135" s="7"/>
      <c r="H135" s="14"/>
      <c r="I135" s="13"/>
      <c r="J135" s="13"/>
      <c r="K135" s="13"/>
      <c r="L135" s="9"/>
      <c r="M135" s="7"/>
      <c r="N135" s="13"/>
      <c r="O135" s="15" t="str">
        <f aca="false">IF($C135="","",IF($E135="Sell to open",1,-1)*$I135*$E$2*$H135)</f>
        <v/>
      </c>
      <c r="P135" s="15" t="str">
        <f aca="false">IF($C135="","",IF($C135="Long call",$F135+$I135,IF($C135="Covered call",$J135-$I135,$F135-$I135)))</f>
        <v/>
      </c>
      <c r="Q135" s="16" t="str">
        <f aca="false">IF($C135="","",IF($AA135="Open",$B$2,IF($M135&lt;&gt;"",$M135,$G135))-$A135)</f>
        <v/>
      </c>
      <c r="R135" s="16" t="str">
        <f aca="false">IF($C135="","",IF($AA135="Open",MAX($G135-$B$2,0),""))</f>
        <v/>
      </c>
      <c r="S135" s="15" t="str">
        <f aca="false">IF(OR($C135="",$AA135="Open"),"",IF($L135="Closed",-IF($E135="Sell to open",1,-1)*$N135*$E$2*$H135,0))</f>
        <v/>
      </c>
      <c r="T135" s="15" t="str">
        <f aca="false">IF(OR($C135="",$AA135="Open"),"",$O135+$S135-$K135)</f>
        <v/>
      </c>
      <c r="U135" s="15" t="str">
        <f aca="false">IF(OR($C135="",$AA135="Open"),"",IF(AND($C135="Covered call",$L135="Assigned"),($F135-$J135)*$E$2*$H135,0))</f>
        <v/>
      </c>
      <c r="V135" s="15" t="str">
        <f aca="false">IF(OR($C135="",$AA135="Open"),"",$T135+$U135)</f>
        <v/>
      </c>
      <c r="W135" s="15" t="str">
        <f aca="false">IF($C135="","",IF(OR($C135="Long call",$C135="Long put"),$I135*$E$2*$H135,(IF($C135="Covered call",$J135,$F135)-$I135)*$E$2*$H135))</f>
        <v/>
      </c>
      <c r="X135" s="17" t="str">
        <f aca="false">IF(OR($C135="",$AA135="Open"),"",IF($W135&gt;0,$V135/$W135,""))</f>
        <v/>
      </c>
      <c r="Y135" s="17" t="str">
        <f aca="false">IF(OR($C135="",$AA135="Open"),"",IF($W135&gt;0,$X135*365/MAX($Q135,1),""))</f>
        <v/>
      </c>
      <c r="Z135" s="18" t="str">
        <f aca="false">IF(OR($C135="",$AA135="Open"),"",IF($M135&lt;&gt;"",$M135,$G135))</f>
        <v/>
      </c>
      <c r="AA135" s="12" t="str">
        <f aca="false">IF($C135="","",IF(OR($L135="Open",$L135=""),"Open","Realized"))</f>
        <v/>
      </c>
    </row>
    <row r="136" customFormat="false" ht="15" hidden="false" customHeight="false" outlineLevel="0" collapsed="false">
      <c r="A136" s="7"/>
      <c r="B136" s="9"/>
      <c r="C136" s="9"/>
      <c r="D136" s="12" t="str">
        <f aca="false">IF($C136="","",IF(OR($C136="Long call",$C136="Covered call"),"Call","Put"))</f>
        <v/>
      </c>
      <c r="E136" s="12" t="str">
        <f aca="false">IF($C136="","",IF(OR($C136="Long call",$C136="Long put"),"Buy to open","Sell to open"))</f>
        <v/>
      </c>
      <c r="F136" s="13"/>
      <c r="G136" s="7"/>
      <c r="H136" s="14"/>
      <c r="I136" s="13"/>
      <c r="J136" s="13"/>
      <c r="K136" s="13"/>
      <c r="L136" s="9"/>
      <c r="M136" s="7"/>
      <c r="N136" s="13"/>
      <c r="O136" s="15" t="str">
        <f aca="false">IF($C136="","",IF($E136="Sell to open",1,-1)*$I136*$E$2*$H136)</f>
        <v/>
      </c>
      <c r="P136" s="15" t="str">
        <f aca="false">IF($C136="","",IF($C136="Long call",$F136+$I136,IF($C136="Covered call",$J136-$I136,$F136-$I136)))</f>
        <v/>
      </c>
      <c r="Q136" s="16" t="str">
        <f aca="false">IF($C136="","",IF($AA136="Open",$B$2,IF($M136&lt;&gt;"",$M136,$G136))-$A136)</f>
        <v/>
      </c>
      <c r="R136" s="16" t="str">
        <f aca="false">IF($C136="","",IF($AA136="Open",MAX($G136-$B$2,0),""))</f>
        <v/>
      </c>
      <c r="S136" s="15" t="str">
        <f aca="false">IF(OR($C136="",$AA136="Open"),"",IF($L136="Closed",-IF($E136="Sell to open",1,-1)*$N136*$E$2*$H136,0))</f>
        <v/>
      </c>
      <c r="T136" s="15" t="str">
        <f aca="false">IF(OR($C136="",$AA136="Open"),"",$O136+$S136-$K136)</f>
        <v/>
      </c>
      <c r="U136" s="15" t="str">
        <f aca="false">IF(OR($C136="",$AA136="Open"),"",IF(AND($C136="Covered call",$L136="Assigned"),($F136-$J136)*$E$2*$H136,0))</f>
        <v/>
      </c>
      <c r="V136" s="15" t="str">
        <f aca="false">IF(OR($C136="",$AA136="Open"),"",$T136+$U136)</f>
        <v/>
      </c>
      <c r="W136" s="15" t="str">
        <f aca="false">IF($C136="","",IF(OR($C136="Long call",$C136="Long put"),$I136*$E$2*$H136,(IF($C136="Covered call",$J136,$F136)-$I136)*$E$2*$H136))</f>
        <v/>
      </c>
      <c r="X136" s="17" t="str">
        <f aca="false">IF(OR($C136="",$AA136="Open"),"",IF($W136&gt;0,$V136/$W136,""))</f>
        <v/>
      </c>
      <c r="Y136" s="17" t="str">
        <f aca="false">IF(OR($C136="",$AA136="Open"),"",IF($W136&gt;0,$X136*365/MAX($Q136,1),""))</f>
        <v/>
      </c>
      <c r="Z136" s="18" t="str">
        <f aca="false">IF(OR($C136="",$AA136="Open"),"",IF($M136&lt;&gt;"",$M136,$G136))</f>
        <v/>
      </c>
      <c r="AA136" s="12" t="str">
        <f aca="false">IF($C136="","",IF(OR($L136="Open",$L136=""),"Open","Realized"))</f>
        <v/>
      </c>
    </row>
    <row r="137" customFormat="false" ht="15" hidden="false" customHeight="false" outlineLevel="0" collapsed="false">
      <c r="A137" s="7"/>
      <c r="B137" s="9"/>
      <c r="C137" s="9"/>
      <c r="D137" s="12" t="str">
        <f aca="false">IF($C137="","",IF(OR($C137="Long call",$C137="Covered call"),"Call","Put"))</f>
        <v/>
      </c>
      <c r="E137" s="12" t="str">
        <f aca="false">IF($C137="","",IF(OR($C137="Long call",$C137="Long put"),"Buy to open","Sell to open"))</f>
        <v/>
      </c>
      <c r="F137" s="13"/>
      <c r="G137" s="7"/>
      <c r="H137" s="14"/>
      <c r="I137" s="13"/>
      <c r="J137" s="13"/>
      <c r="K137" s="13"/>
      <c r="L137" s="9"/>
      <c r="M137" s="7"/>
      <c r="N137" s="13"/>
      <c r="O137" s="15" t="str">
        <f aca="false">IF($C137="","",IF($E137="Sell to open",1,-1)*$I137*$E$2*$H137)</f>
        <v/>
      </c>
      <c r="P137" s="15" t="str">
        <f aca="false">IF($C137="","",IF($C137="Long call",$F137+$I137,IF($C137="Covered call",$J137-$I137,$F137-$I137)))</f>
        <v/>
      </c>
      <c r="Q137" s="16" t="str">
        <f aca="false">IF($C137="","",IF($AA137="Open",$B$2,IF($M137&lt;&gt;"",$M137,$G137))-$A137)</f>
        <v/>
      </c>
      <c r="R137" s="16" t="str">
        <f aca="false">IF($C137="","",IF($AA137="Open",MAX($G137-$B$2,0),""))</f>
        <v/>
      </c>
      <c r="S137" s="15" t="str">
        <f aca="false">IF(OR($C137="",$AA137="Open"),"",IF($L137="Closed",-IF($E137="Sell to open",1,-1)*$N137*$E$2*$H137,0))</f>
        <v/>
      </c>
      <c r="T137" s="15" t="str">
        <f aca="false">IF(OR($C137="",$AA137="Open"),"",$O137+$S137-$K137)</f>
        <v/>
      </c>
      <c r="U137" s="15" t="str">
        <f aca="false">IF(OR($C137="",$AA137="Open"),"",IF(AND($C137="Covered call",$L137="Assigned"),($F137-$J137)*$E$2*$H137,0))</f>
        <v/>
      </c>
      <c r="V137" s="15" t="str">
        <f aca="false">IF(OR($C137="",$AA137="Open"),"",$T137+$U137)</f>
        <v/>
      </c>
      <c r="W137" s="15" t="str">
        <f aca="false">IF($C137="","",IF(OR($C137="Long call",$C137="Long put"),$I137*$E$2*$H137,(IF($C137="Covered call",$J137,$F137)-$I137)*$E$2*$H137))</f>
        <v/>
      </c>
      <c r="X137" s="17" t="str">
        <f aca="false">IF(OR($C137="",$AA137="Open"),"",IF($W137&gt;0,$V137/$W137,""))</f>
        <v/>
      </c>
      <c r="Y137" s="17" t="str">
        <f aca="false">IF(OR($C137="",$AA137="Open"),"",IF($W137&gt;0,$X137*365/MAX($Q137,1),""))</f>
        <v/>
      </c>
      <c r="Z137" s="18" t="str">
        <f aca="false">IF(OR($C137="",$AA137="Open"),"",IF($M137&lt;&gt;"",$M137,$G137))</f>
        <v/>
      </c>
      <c r="AA137" s="12" t="str">
        <f aca="false">IF($C137="","",IF(OR($L137="Open",$L137=""),"Open","Realized"))</f>
        <v/>
      </c>
    </row>
    <row r="138" customFormat="false" ht="15" hidden="false" customHeight="false" outlineLevel="0" collapsed="false">
      <c r="A138" s="7"/>
      <c r="B138" s="9"/>
      <c r="C138" s="9"/>
      <c r="D138" s="12" t="str">
        <f aca="false">IF($C138="","",IF(OR($C138="Long call",$C138="Covered call"),"Call","Put"))</f>
        <v/>
      </c>
      <c r="E138" s="12" t="str">
        <f aca="false">IF($C138="","",IF(OR($C138="Long call",$C138="Long put"),"Buy to open","Sell to open"))</f>
        <v/>
      </c>
      <c r="F138" s="13"/>
      <c r="G138" s="7"/>
      <c r="H138" s="14"/>
      <c r="I138" s="13"/>
      <c r="J138" s="13"/>
      <c r="K138" s="13"/>
      <c r="L138" s="9"/>
      <c r="M138" s="7"/>
      <c r="N138" s="13"/>
      <c r="O138" s="15" t="str">
        <f aca="false">IF($C138="","",IF($E138="Sell to open",1,-1)*$I138*$E$2*$H138)</f>
        <v/>
      </c>
      <c r="P138" s="15" t="str">
        <f aca="false">IF($C138="","",IF($C138="Long call",$F138+$I138,IF($C138="Covered call",$J138-$I138,$F138-$I138)))</f>
        <v/>
      </c>
      <c r="Q138" s="16" t="str">
        <f aca="false">IF($C138="","",IF($AA138="Open",$B$2,IF($M138&lt;&gt;"",$M138,$G138))-$A138)</f>
        <v/>
      </c>
      <c r="R138" s="16" t="str">
        <f aca="false">IF($C138="","",IF($AA138="Open",MAX($G138-$B$2,0),""))</f>
        <v/>
      </c>
      <c r="S138" s="15" t="str">
        <f aca="false">IF(OR($C138="",$AA138="Open"),"",IF($L138="Closed",-IF($E138="Sell to open",1,-1)*$N138*$E$2*$H138,0))</f>
        <v/>
      </c>
      <c r="T138" s="15" t="str">
        <f aca="false">IF(OR($C138="",$AA138="Open"),"",$O138+$S138-$K138)</f>
        <v/>
      </c>
      <c r="U138" s="15" t="str">
        <f aca="false">IF(OR($C138="",$AA138="Open"),"",IF(AND($C138="Covered call",$L138="Assigned"),($F138-$J138)*$E$2*$H138,0))</f>
        <v/>
      </c>
      <c r="V138" s="15" t="str">
        <f aca="false">IF(OR($C138="",$AA138="Open"),"",$T138+$U138)</f>
        <v/>
      </c>
      <c r="W138" s="15" t="str">
        <f aca="false">IF($C138="","",IF(OR($C138="Long call",$C138="Long put"),$I138*$E$2*$H138,(IF($C138="Covered call",$J138,$F138)-$I138)*$E$2*$H138))</f>
        <v/>
      </c>
      <c r="X138" s="17" t="str">
        <f aca="false">IF(OR($C138="",$AA138="Open"),"",IF($W138&gt;0,$V138/$W138,""))</f>
        <v/>
      </c>
      <c r="Y138" s="17" t="str">
        <f aca="false">IF(OR($C138="",$AA138="Open"),"",IF($W138&gt;0,$X138*365/MAX($Q138,1),""))</f>
        <v/>
      </c>
      <c r="Z138" s="18" t="str">
        <f aca="false">IF(OR($C138="",$AA138="Open"),"",IF($M138&lt;&gt;"",$M138,$G138))</f>
        <v/>
      </c>
      <c r="AA138" s="12" t="str">
        <f aca="false">IF($C138="","",IF(OR($L138="Open",$L138=""),"Open","Realized"))</f>
        <v/>
      </c>
    </row>
    <row r="139" customFormat="false" ht="15" hidden="false" customHeight="false" outlineLevel="0" collapsed="false">
      <c r="A139" s="7"/>
      <c r="B139" s="9"/>
      <c r="C139" s="9"/>
      <c r="D139" s="12" t="str">
        <f aca="false">IF($C139="","",IF(OR($C139="Long call",$C139="Covered call"),"Call","Put"))</f>
        <v/>
      </c>
      <c r="E139" s="12" t="str">
        <f aca="false">IF($C139="","",IF(OR($C139="Long call",$C139="Long put"),"Buy to open","Sell to open"))</f>
        <v/>
      </c>
      <c r="F139" s="13"/>
      <c r="G139" s="7"/>
      <c r="H139" s="14"/>
      <c r="I139" s="13"/>
      <c r="J139" s="13"/>
      <c r="K139" s="13"/>
      <c r="L139" s="9"/>
      <c r="M139" s="7"/>
      <c r="N139" s="13"/>
      <c r="O139" s="15" t="str">
        <f aca="false">IF($C139="","",IF($E139="Sell to open",1,-1)*$I139*$E$2*$H139)</f>
        <v/>
      </c>
      <c r="P139" s="15" t="str">
        <f aca="false">IF($C139="","",IF($C139="Long call",$F139+$I139,IF($C139="Covered call",$J139-$I139,$F139-$I139)))</f>
        <v/>
      </c>
      <c r="Q139" s="16" t="str">
        <f aca="false">IF($C139="","",IF($AA139="Open",$B$2,IF($M139&lt;&gt;"",$M139,$G139))-$A139)</f>
        <v/>
      </c>
      <c r="R139" s="16" t="str">
        <f aca="false">IF($C139="","",IF($AA139="Open",MAX($G139-$B$2,0),""))</f>
        <v/>
      </c>
      <c r="S139" s="15" t="str">
        <f aca="false">IF(OR($C139="",$AA139="Open"),"",IF($L139="Closed",-IF($E139="Sell to open",1,-1)*$N139*$E$2*$H139,0))</f>
        <v/>
      </c>
      <c r="T139" s="15" t="str">
        <f aca="false">IF(OR($C139="",$AA139="Open"),"",$O139+$S139-$K139)</f>
        <v/>
      </c>
      <c r="U139" s="15" t="str">
        <f aca="false">IF(OR($C139="",$AA139="Open"),"",IF(AND($C139="Covered call",$L139="Assigned"),($F139-$J139)*$E$2*$H139,0))</f>
        <v/>
      </c>
      <c r="V139" s="15" t="str">
        <f aca="false">IF(OR($C139="",$AA139="Open"),"",$T139+$U139)</f>
        <v/>
      </c>
      <c r="W139" s="15" t="str">
        <f aca="false">IF($C139="","",IF(OR($C139="Long call",$C139="Long put"),$I139*$E$2*$H139,(IF($C139="Covered call",$J139,$F139)-$I139)*$E$2*$H139))</f>
        <v/>
      </c>
      <c r="X139" s="17" t="str">
        <f aca="false">IF(OR($C139="",$AA139="Open"),"",IF($W139&gt;0,$V139/$W139,""))</f>
        <v/>
      </c>
      <c r="Y139" s="17" t="str">
        <f aca="false">IF(OR($C139="",$AA139="Open"),"",IF($W139&gt;0,$X139*365/MAX($Q139,1),""))</f>
        <v/>
      </c>
      <c r="Z139" s="18" t="str">
        <f aca="false">IF(OR($C139="",$AA139="Open"),"",IF($M139&lt;&gt;"",$M139,$G139))</f>
        <v/>
      </c>
      <c r="AA139" s="12" t="str">
        <f aca="false">IF($C139="","",IF(OR($L139="Open",$L139=""),"Open","Realized"))</f>
        <v/>
      </c>
    </row>
    <row r="140" customFormat="false" ht="15" hidden="false" customHeight="false" outlineLevel="0" collapsed="false">
      <c r="A140" s="7"/>
      <c r="B140" s="9"/>
      <c r="C140" s="9"/>
      <c r="D140" s="12" t="str">
        <f aca="false">IF($C140="","",IF(OR($C140="Long call",$C140="Covered call"),"Call","Put"))</f>
        <v/>
      </c>
      <c r="E140" s="12" t="str">
        <f aca="false">IF($C140="","",IF(OR($C140="Long call",$C140="Long put"),"Buy to open","Sell to open"))</f>
        <v/>
      </c>
      <c r="F140" s="13"/>
      <c r="G140" s="7"/>
      <c r="H140" s="14"/>
      <c r="I140" s="13"/>
      <c r="J140" s="13"/>
      <c r="K140" s="13"/>
      <c r="L140" s="9"/>
      <c r="M140" s="7"/>
      <c r="N140" s="13"/>
      <c r="O140" s="15" t="str">
        <f aca="false">IF($C140="","",IF($E140="Sell to open",1,-1)*$I140*$E$2*$H140)</f>
        <v/>
      </c>
      <c r="P140" s="15" t="str">
        <f aca="false">IF($C140="","",IF($C140="Long call",$F140+$I140,IF($C140="Covered call",$J140-$I140,$F140-$I140)))</f>
        <v/>
      </c>
      <c r="Q140" s="16" t="str">
        <f aca="false">IF($C140="","",IF($AA140="Open",$B$2,IF($M140&lt;&gt;"",$M140,$G140))-$A140)</f>
        <v/>
      </c>
      <c r="R140" s="16" t="str">
        <f aca="false">IF($C140="","",IF($AA140="Open",MAX($G140-$B$2,0),""))</f>
        <v/>
      </c>
      <c r="S140" s="15" t="str">
        <f aca="false">IF(OR($C140="",$AA140="Open"),"",IF($L140="Closed",-IF($E140="Sell to open",1,-1)*$N140*$E$2*$H140,0))</f>
        <v/>
      </c>
      <c r="T140" s="15" t="str">
        <f aca="false">IF(OR($C140="",$AA140="Open"),"",$O140+$S140-$K140)</f>
        <v/>
      </c>
      <c r="U140" s="15" t="str">
        <f aca="false">IF(OR($C140="",$AA140="Open"),"",IF(AND($C140="Covered call",$L140="Assigned"),($F140-$J140)*$E$2*$H140,0))</f>
        <v/>
      </c>
      <c r="V140" s="15" t="str">
        <f aca="false">IF(OR($C140="",$AA140="Open"),"",$T140+$U140)</f>
        <v/>
      </c>
      <c r="W140" s="15" t="str">
        <f aca="false">IF($C140="","",IF(OR($C140="Long call",$C140="Long put"),$I140*$E$2*$H140,(IF($C140="Covered call",$J140,$F140)-$I140)*$E$2*$H140))</f>
        <v/>
      </c>
      <c r="X140" s="17" t="str">
        <f aca="false">IF(OR($C140="",$AA140="Open"),"",IF($W140&gt;0,$V140/$W140,""))</f>
        <v/>
      </c>
      <c r="Y140" s="17" t="str">
        <f aca="false">IF(OR($C140="",$AA140="Open"),"",IF($W140&gt;0,$X140*365/MAX($Q140,1),""))</f>
        <v/>
      </c>
      <c r="Z140" s="18" t="str">
        <f aca="false">IF(OR($C140="",$AA140="Open"),"",IF($M140&lt;&gt;"",$M140,$G140))</f>
        <v/>
      </c>
      <c r="AA140" s="12" t="str">
        <f aca="false">IF($C140="","",IF(OR($L140="Open",$L140=""),"Open","Realized"))</f>
        <v/>
      </c>
    </row>
    <row r="141" customFormat="false" ht="15" hidden="false" customHeight="false" outlineLevel="0" collapsed="false">
      <c r="A141" s="7"/>
      <c r="B141" s="9"/>
      <c r="C141" s="9"/>
      <c r="D141" s="12" t="str">
        <f aca="false">IF($C141="","",IF(OR($C141="Long call",$C141="Covered call"),"Call","Put"))</f>
        <v/>
      </c>
      <c r="E141" s="12" t="str">
        <f aca="false">IF($C141="","",IF(OR($C141="Long call",$C141="Long put"),"Buy to open","Sell to open"))</f>
        <v/>
      </c>
      <c r="F141" s="13"/>
      <c r="G141" s="7"/>
      <c r="H141" s="14"/>
      <c r="I141" s="13"/>
      <c r="J141" s="13"/>
      <c r="K141" s="13"/>
      <c r="L141" s="9"/>
      <c r="M141" s="7"/>
      <c r="N141" s="13"/>
      <c r="O141" s="15" t="str">
        <f aca="false">IF($C141="","",IF($E141="Sell to open",1,-1)*$I141*$E$2*$H141)</f>
        <v/>
      </c>
      <c r="P141" s="15" t="str">
        <f aca="false">IF($C141="","",IF($C141="Long call",$F141+$I141,IF($C141="Covered call",$J141-$I141,$F141-$I141)))</f>
        <v/>
      </c>
      <c r="Q141" s="16" t="str">
        <f aca="false">IF($C141="","",IF($AA141="Open",$B$2,IF($M141&lt;&gt;"",$M141,$G141))-$A141)</f>
        <v/>
      </c>
      <c r="R141" s="16" t="str">
        <f aca="false">IF($C141="","",IF($AA141="Open",MAX($G141-$B$2,0),""))</f>
        <v/>
      </c>
      <c r="S141" s="15" t="str">
        <f aca="false">IF(OR($C141="",$AA141="Open"),"",IF($L141="Closed",-IF($E141="Sell to open",1,-1)*$N141*$E$2*$H141,0))</f>
        <v/>
      </c>
      <c r="T141" s="15" t="str">
        <f aca="false">IF(OR($C141="",$AA141="Open"),"",$O141+$S141-$K141)</f>
        <v/>
      </c>
      <c r="U141" s="15" t="str">
        <f aca="false">IF(OR($C141="",$AA141="Open"),"",IF(AND($C141="Covered call",$L141="Assigned"),($F141-$J141)*$E$2*$H141,0))</f>
        <v/>
      </c>
      <c r="V141" s="15" t="str">
        <f aca="false">IF(OR($C141="",$AA141="Open"),"",$T141+$U141)</f>
        <v/>
      </c>
      <c r="W141" s="15" t="str">
        <f aca="false">IF($C141="","",IF(OR($C141="Long call",$C141="Long put"),$I141*$E$2*$H141,(IF($C141="Covered call",$J141,$F141)-$I141)*$E$2*$H141))</f>
        <v/>
      </c>
      <c r="X141" s="17" t="str">
        <f aca="false">IF(OR($C141="",$AA141="Open"),"",IF($W141&gt;0,$V141/$W141,""))</f>
        <v/>
      </c>
      <c r="Y141" s="17" t="str">
        <f aca="false">IF(OR($C141="",$AA141="Open"),"",IF($W141&gt;0,$X141*365/MAX($Q141,1),""))</f>
        <v/>
      </c>
      <c r="Z141" s="18" t="str">
        <f aca="false">IF(OR($C141="",$AA141="Open"),"",IF($M141&lt;&gt;"",$M141,$G141))</f>
        <v/>
      </c>
      <c r="AA141" s="12" t="str">
        <f aca="false">IF($C141="","",IF(OR($L141="Open",$L141=""),"Open","Realized"))</f>
        <v/>
      </c>
    </row>
    <row r="142" customFormat="false" ht="15" hidden="false" customHeight="false" outlineLevel="0" collapsed="false">
      <c r="A142" s="7"/>
      <c r="B142" s="9"/>
      <c r="C142" s="9"/>
      <c r="D142" s="12" t="str">
        <f aca="false">IF($C142="","",IF(OR($C142="Long call",$C142="Covered call"),"Call","Put"))</f>
        <v/>
      </c>
      <c r="E142" s="12" t="str">
        <f aca="false">IF($C142="","",IF(OR($C142="Long call",$C142="Long put"),"Buy to open","Sell to open"))</f>
        <v/>
      </c>
      <c r="F142" s="13"/>
      <c r="G142" s="7"/>
      <c r="H142" s="14"/>
      <c r="I142" s="13"/>
      <c r="J142" s="13"/>
      <c r="K142" s="13"/>
      <c r="L142" s="9"/>
      <c r="M142" s="7"/>
      <c r="N142" s="13"/>
      <c r="O142" s="15" t="str">
        <f aca="false">IF($C142="","",IF($E142="Sell to open",1,-1)*$I142*$E$2*$H142)</f>
        <v/>
      </c>
      <c r="P142" s="15" t="str">
        <f aca="false">IF($C142="","",IF($C142="Long call",$F142+$I142,IF($C142="Covered call",$J142-$I142,$F142-$I142)))</f>
        <v/>
      </c>
      <c r="Q142" s="16" t="str">
        <f aca="false">IF($C142="","",IF($AA142="Open",$B$2,IF($M142&lt;&gt;"",$M142,$G142))-$A142)</f>
        <v/>
      </c>
      <c r="R142" s="16" t="str">
        <f aca="false">IF($C142="","",IF($AA142="Open",MAX($G142-$B$2,0),""))</f>
        <v/>
      </c>
      <c r="S142" s="15" t="str">
        <f aca="false">IF(OR($C142="",$AA142="Open"),"",IF($L142="Closed",-IF($E142="Sell to open",1,-1)*$N142*$E$2*$H142,0))</f>
        <v/>
      </c>
      <c r="T142" s="15" t="str">
        <f aca="false">IF(OR($C142="",$AA142="Open"),"",$O142+$S142-$K142)</f>
        <v/>
      </c>
      <c r="U142" s="15" t="str">
        <f aca="false">IF(OR($C142="",$AA142="Open"),"",IF(AND($C142="Covered call",$L142="Assigned"),($F142-$J142)*$E$2*$H142,0))</f>
        <v/>
      </c>
      <c r="V142" s="15" t="str">
        <f aca="false">IF(OR($C142="",$AA142="Open"),"",$T142+$U142)</f>
        <v/>
      </c>
      <c r="W142" s="15" t="str">
        <f aca="false">IF($C142="","",IF(OR($C142="Long call",$C142="Long put"),$I142*$E$2*$H142,(IF($C142="Covered call",$J142,$F142)-$I142)*$E$2*$H142))</f>
        <v/>
      </c>
      <c r="X142" s="17" t="str">
        <f aca="false">IF(OR($C142="",$AA142="Open"),"",IF($W142&gt;0,$V142/$W142,""))</f>
        <v/>
      </c>
      <c r="Y142" s="17" t="str">
        <f aca="false">IF(OR($C142="",$AA142="Open"),"",IF($W142&gt;0,$X142*365/MAX($Q142,1),""))</f>
        <v/>
      </c>
      <c r="Z142" s="18" t="str">
        <f aca="false">IF(OR($C142="",$AA142="Open"),"",IF($M142&lt;&gt;"",$M142,$G142))</f>
        <v/>
      </c>
      <c r="AA142" s="12" t="str">
        <f aca="false">IF($C142="","",IF(OR($L142="Open",$L142=""),"Open","Realized"))</f>
        <v/>
      </c>
    </row>
    <row r="143" customFormat="false" ht="15" hidden="false" customHeight="false" outlineLevel="0" collapsed="false">
      <c r="A143" s="7"/>
      <c r="B143" s="9"/>
      <c r="C143" s="9"/>
      <c r="D143" s="12" t="str">
        <f aca="false">IF($C143="","",IF(OR($C143="Long call",$C143="Covered call"),"Call","Put"))</f>
        <v/>
      </c>
      <c r="E143" s="12" t="str">
        <f aca="false">IF($C143="","",IF(OR($C143="Long call",$C143="Long put"),"Buy to open","Sell to open"))</f>
        <v/>
      </c>
      <c r="F143" s="13"/>
      <c r="G143" s="7"/>
      <c r="H143" s="14"/>
      <c r="I143" s="13"/>
      <c r="J143" s="13"/>
      <c r="K143" s="13"/>
      <c r="L143" s="9"/>
      <c r="M143" s="7"/>
      <c r="N143" s="13"/>
      <c r="O143" s="15" t="str">
        <f aca="false">IF($C143="","",IF($E143="Sell to open",1,-1)*$I143*$E$2*$H143)</f>
        <v/>
      </c>
      <c r="P143" s="15" t="str">
        <f aca="false">IF($C143="","",IF($C143="Long call",$F143+$I143,IF($C143="Covered call",$J143-$I143,$F143-$I143)))</f>
        <v/>
      </c>
      <c r="Q143" s="16" t="str">
        <f aca="false">IF($C143="","",IF($AA143="Open",$B$2,IF($M143&lt;&gt;"",$M143,$G143))-$A143)</f>
        <v/>
      </c>
      <c r="R143" s="16" t="str">
        <f aca="false">IF($C143="","",IF($AA143="Open",MAX($G143-$B$2,0),""))</f>
        <v/>
      </c>
      <c r="S143" s="15" t="str">
        <f aca="false">IF(OR($C143="",$AA143="Open"),"",IF($L143="Closed",-IF($E143="Sell to open",1,-1)*$N143*$E$2*$H143,0))</f>
        <v/>
      </c>
      <c r="T143" s="15" t="str">
        <f aca="false">IF(OR($C143="",$AA143="Open"),"",$O143+$S143-$K143)</f>
        <v/>
      </c>
      <c r="U143" s="15" t="str">
        <f aca="false">IF(OR($C143="",$AA143="Open"),"",IF(AND($C143="Covered call",$L143="Assigned"),($F143-$J143)*$E$2*$H143,0))</f>
        <v/>
      </c>
      <c r="V143" s="15" t="str">
        <f aca="false">IF(OR($C143="",$AA143="Open"),"",$T143+$U143)</f>
        <v/>
      </c>
      <c r="W143" s="15" t="str">
        <f aca="false">IF($C143="","",IF(OR($C143="Long call",$C143="Long put"),$I143*$E$2*$H143,(IF($C143="Covered call",$J143,$F143)-$I143)*$E$2*$H143))</f>
        <v/>
      </c>
      <c r="X143" s="17" t="str">
        <f aca="false">IF(OR($C143="",$AA143="Open"),"",IF($W143&gt;0,$V143/$W143,""))</f>
        <v/>
      </c>
      <c r="Y143" s="17" t="str">
        <f aca="false">IF(OR($C143="",$AA143="Open"),"",IF($W143&gt;0,$X143*365/MAX($Q143,1),""))</f>
        <v/>
      </c>
      <c r="Z143" s="18" t="str">
        <f aca="false">IF(OR($C143="",$AA143="Open"),"",IF($M143&lt;&gt;"",$M143,$G143))</f>
        <v/>
      </c>
      <c r="AA143" s="12" t="str">
        <f aca="false">IF($C143="","",IF(OR($L143="Open",$L143=""),"Open","Realized"))</f>
        <v/>
      </c>
    </row>
    <row r="144" customFormat="false" ht="15" hidden="false" customHeight="false" outlineLevel="0" collapsed="false">
      <c r="A144" s="7"/>
      <c r="B144" s="9"/>
      <c r="C144" s="9"/>
      <c r="D144" s="12" t="str">
        <f aca="false">IF($C144="","",IF(OR($C144="Long call",$C144="Covered call"),"Call","Put"))</f>
        <v/>
      </c>
      <c r="E144" s="12" t="str">
        <f aca="false">IF($C144="","",IF(OR($C144="Long call",$C144="Long put"),"Buy to open","Sell to open"))</f>
        <v/>
      </c>
      <c r="F144" s="13"/>
      <c r="G144" s="7"/>
      <c r="H144" s="14"/>
      <c r="I144" s="13"/>
      <c r="J144" s="13"/>
      <c r="K144" s="13"/>
      <c r="L144" s="9"/>
      <c r="M144" s="7"/>
      <c r="N144" s="13"/>
      <c r="O144" s="15" t="str">
        <f aca="false">IF($C144="","",IF($E144="Sell to open",1,-1)*$I144*$E$2*$H144)</f>
        <v/>
      </c>
      <c r="P144" s="15" t="str">
        <f aca="false">IF($C144="","",IF($C144="Long call",$F144+$I144,IF($C144="Covered call",$J144-$I144,$F144-$I144)))</f>
        <v/>
      </c>
      <c r="Q144" s="16" t="str">
        <f aca="false">IF($C144="","",IF($AA144="Open",$B$2,IF($M144&lt;&gt;"",$M144,$G144))-$A144)</f>
        <v/>
      </c>
      <c r="R144" s="16" t="str">
        <f aca="false">IF($C144="","",IF($AA144="Open",MAX($G144-$B$2,0),""))</f>
        <v/>
      </c>
      <c r="S144" s="15" t="str">
        <f aca="false">IF(OR($C144="",$AA144="Open"),"",IF($L144="Closed",-IF($E144="Sell to open",1,-1)*$N144*$E$2*$H144,0))</f>
        <v/>
      </c>
      <c r="T144" s="15" t="str">
        <f aca="false">IF(OR($C144="",$AA144="Open"),"",$O144+$S144-$K144)</f>
        <v/>
      </c>
      <c r="U144" s="15" t="str">
        <f aca="false">IF(OR($C144="",$AA144="Open"),"",IF(AND($C144="Covered call",$L144="Assigned"),($F144-$J144)*$E$2*$H144,0))</f>
        <v/>
      </c>
      <c r="V144" s="15" t="str">
        <f aca="false">IF(OR($C144="",$AA144="Open"),"",$T144+$U144)</f>
        <v/>
      </c>
      <c r="W144" s="15" t="str">
        <f aca="false">IF($C144="","",IF(OR($C144="Long call",$C144="Long put"),$I144*$E$2*$H144,(IF($C144="Covered call",$J144,$F144)-$I144)*$E$2*$H144))</f>
        <v/>
      </c>
      <c r="X144" s="17" t="str">
        <f aca="false">IF(OR($C144="",$AA144="Open"),"",IF($W144&gt;0,$V144/$W144,""))</f>
        <v/>
      </c>
      <c r="Y144" s="17" t="str">
        <f aca="false">IF(OR($C144="",$AA144="Open"),"",IF($W144&gt;0,$X144*365/MAX($Q144,1),""))</f>
        <v/>
      </c>
      <c r="Z144" s="18" t="str">
        <f aca="false">IF(OR($C144="",$AA144="Open"),"",IF($M144&lt;&gt;"",$M144,$G144))</f>
        <v/>
      </c>
      <c r="AA144" s="12" t="str">
        <f aca="false">IF($C144="","",IF(OR($L144="Open",$L144=""),"Open","Realized"))</f>
        <v/>
      </c>
    </row>
    <row r="145" customFormat="false" ht="15" hidden="false" customHeight="false" outlineLevel="0" collapsed="false">
      <c r="A145" s="7"/>
      <c r="B145" s="9"/>
      <c r="C145" s="9"/>
      <c r="D145" s="12" t="str">
        <f aca="false">IF($C145="","",IF(OR($C145="Long call",$C145="Covered call"),"Call","Put"))</f>
        <v/>
      </c>
      <c r="E145" s="12" t="str">
        <f aca="false">IF($C145="","",IF(OR($C145="Long call",$C145="Long put"),"Buy to open","Sell to open"))</f>
        <v/>
      </c>
      <c r="F145" s="13"/>
      <c r="G145" s="7"/>
      <c r="H145" s="14"/>
      <c r="I145" s="13"/>
      <c r="J145" s="13"/>
      <c r="K145" s="13"/>
      <c r="L145" s="9"/>
      <c r="M145" s="7"/>
      <c r="N145" s="13"/>
      <c r="O145" s="15" t="str">
        <f aca="false">IF($C145="","",IF($E145="Sell to open",1,-1)*$I145*$E$2*$H145)</f>
        <v/>
      </c>
      <c r="P145" s="15" t="str">
        <f aca="false">IF($C145="","",IF($C145="Long call",$F145+$I145,IF($C145="Covered call",$J145-$I145,$F145-$I145)))</f>
        <v/>
      </c>
      <c r="Q145" s="16" t="str">
        <f aca="false">IF($C145="","",IF($AA145="Open",$B$2,IF($M145&lt;&gt;"",$M145,$G145))-$A145)</f>
        <v/>
      </c>
      <c r="R145" s="16" t="str">
        <f aca="false">IF($C145="","",IF($AA145="Open",MAX($G145-$B$2,0),""))</f>
        <v/>
      </c>
      <c r="S145" s="15" t="str">
        <f aca="false">IF(OR($C145="",$AA145="Open"),"",IF($L145="Closed",-IF($E145="Sell to open",1,-1)*$N145*$E$2*$H145,0))</f>
        <v/>
      </c>
      <c r="T145" s="15" t="str">
        <f aca="false">IF(OR($C145="",$AA145="Open"),"",$O145+$S145-$K145)</f>
        <v/>
      </c>
      <c r="U145" s="15" t="str">
        <f aca="false">IF(OR($C145="",$AA145="Open"),"",IF(AND($C145="Covered call",$L145="Assigned"),($F145-$J145)*$E$2*$H145,0))</f>
        <v/>
      </c>
      <c r="V145" s="15" t="str">
        <f aca="false">IF(OR($C145="",$AA145="Open"),"",$T145+$U145)</f>
        <v/>
      </c>
      <c r="W145" s="15" t="str">
        <f aca="false">IF($C145="","",IF(OR($C145="Long call",$C145="Long put"),$I145*$E$2*$H145,(IF($C145="Covered call",$J145,$F145)-$I145)*$E$2*$H145))</f>
        <v/>
      </c>
      <c r="X145" s="17" t="str">
        <f aca="false">IF(OR($C145="",$AA145="Open"),"",IF($W145&gt;0,$V145/$W145,""))</f>
        <v/>
      </c>
      <c r="Y145" s="17" t="str">
        <f aca="false">IF(OR($C145="",$AA145="Open"),"",IF($W145&gt;0,$X145*365/MAX($Q145,1),""))</f>
        <v/>
      </c>
      <c r="Z145" s="18" t="str">
        <f aca="false">IF(OR($C145="",$AA145="Open"),"",IF($M145&lt;&gt;"",$M145,$G145))</f>
        <v/>
      </c>
      <c r="AA145" s="12" t="str">
        <f aca="false">IF($C145="","",IF(OR($L145="Open",$L145=""),"Open","Realized"))</f>
        <v/>
      </c>
    </row>
    <row r="146" customFormat="false" ht="15" hidden="false" customHeight="false" outlineLevel="0" collapsed="false">
      <c r="A146" s="7"/>
      <c r="B146" s="9"/>
      <c r="C146" s="9"/>
      <c r="D146" s="12" t="str">
        <f aca="false">IF($C146="","",IF(OR($C146="Long call",$C146="Covered call"),"Call","Put"))</f>
        <v/>
      </c>
      <c r="E146" s="12" t="str">
        <f aca="false">IF($C146="","",IF(OR($C146="Long call",$C146="Long put"),"Buy to open","Sell to open"))</f>
        <v/>
      </c>
      <c r="F146" s="13"/>
      <c r="G146" s="7"/>
      <c r="H146" s="14"/>
      <c r="I146" s="13"/>
      <c r="J146" s="13"/>
      <c r="K146" s="13"/>
      <c r="L146" s="9"/>
      <c r="M146" s="7"/>
      <c r="N146" s="13"/>
      <c r="O146" s="15" t="str">
        <f aca="false">IF($C146="","",IF($E146="Sell to open",1,-1)*$I146*$E$2*$H146)</f>
        <v/>
      </c>
      <c r="P146" s="15" t="str">
        <f aca="false">IF($C146="","",IF($C146="Long call",$F146+$I146,IF($C146="Covered call",$J146-$I146,$F146-$I146)))</f>
        <v/>
      </c>
      <c r="Q146" s="16" t="str">
        <f aca="false">IF($C146="","",IF($AA146="Open",$B$2,IF($M146&lt;&gt;"",$M146,$G146))-$A146)</f>
        <v/>
      </c>
      <c r="R146" s="16" t="str">
        <f aca="false">IF($C146="","",IF($AA146="Open",MAX($G146-$B$2,0),""))</f>
        <v/>
      </c>
      <c r="S146" s="15" t="str">
        <f aca="false">IF(OR($C146="",$AA146="Open"),"",IF($L146="Closed",-IF($E146="Sell to open",1,-1)*$N146*$E$2*$H146,0))</f>
        <v/>
      </c>
      <c r="T146" s="15" t="str">
        <f aca="false">IF(OR($C146="",$AA146="Open"),"",$O146+$S146-$K146)</f>
        <v/>
      </c>
      <c r="U146" s="15" t="str">
        <f aca="false">IF(OR($C146="",$AA146="Open"),"",IF(AND($C146="Covered call",$L146="Assigned"),($F146-$J146)*$E$2*$H146,0))</f>
        <v/>
      </c>
      <c r="V146" s="15" t="str">
        <f aca="false">IF(OR($C146="",$AA146="Open"),"",$T146+$U146)</f>
        <v/>
      </c>
      <c r="W146" s="15" t="str">
        <f aca="false">IF($C146="","",IF(OR($C146="Long call",$C146="Long put"),$I146*$E$2*$H146,(IF($C146="Covered call",$J146,$F146)-$I146)*$E$2*$H146))</f>
        <v/>
      </c>
      <c r="X146" s="17" t="str">
        <f aca="false">IF(OR($C146="",$AA146="Open"),"",IF($W146&gt;0,$V146/$W146,""))</f>
        <v/>
      </c>
      <c r="Y146" s="17" t="str">
        <f aca="false">IF(OR($C146="",$AA146="Open"),"",IF($W146&gt;0,$X146*365/MAX($Q146,1),""))</f>
        <v/>
      </c>
      <c r="Z146" s="18" t="str">
        <f aca="false">IF(OR($C146="",$AA146="Open"),"",IF($M146&lt;&gt;"",$M146,$G146))</f>
        <v/>
      </c>
      <c r="AA146" s="12" t="str">
        <f aca="false">IF($C146="","",IF(OR($L146="Open",$L146=""),"Open","Realized"))</f>
        <v/>
      </c>
    </row>
    <row r="147" customFormat="false" ht="15" hidden="false" customHeight="false" outlineLevel="0" collapsed="false">
      <c r="A147" s="7"/>
      <c r="B147" s="9"/>
      <c r="C147" s="9"/>
      <c r="D147" s="12" t="str">
        <f aca="false">IF($C147="","",IF(OR($C147="Long call",$C147="Covered call"),"Call","Put"))</f>
        <v/>
      </c>
      <c r="E147" s="12" t="str">
        <f aca="false">IF($C147="","",IF(OR($C147="Long call",$C147="Long put"),"Buy to open","Sell to open"))</f>
        <v/>
      </c>
      <c r="F147" s="13"/>
      <c r="G147" s="7"/>
      <c r="H147" s="14"/>
      <c r="I147" s="13"/>
      <c r="J147" s="13"/>
      <c r="K147" s="13"/>
      <c r="L147" s="9"/>
      <c r="M147" s="7"/>
      <c r="N147" s="13"/>
      <c r="O147" s="15" t="str">
        <f aca="false">IF($C147="","",IF($E147="Sell to open",1,-1)*$I147*$E$2*$H147)</f>
        <v/>
      </c>
      <c r="P147" s="15" t="str">
        <f aca="false">IF($C147="","",IF($C147="Long call",$F147+$I147,IF($C147="Covered call",$J147-$I147,$F147-$I147)))</f>
        <v/>
      </c>
      <c r="Q147" s="16" t="str">
        <f aca="false">IF($C147="","",IF($AA147="Open",$B$2,IF($M147&lt;&gt;"",$M147,$G147))-$A147)</f>
        <v/>
      </c>
      <c r="R147" s="16" t="str">
        <f aca="false">IF($C147="","",IF($AA147="Open",MAX($G147-$B$2,0),""))</f>
        <v/>
      </c>
      <c r="S147" s="15" t="str">
        <f aca="false">IF(OR($C147="",$AA147="Open"),"",IF($L147="Closed",-IF($E147="Sell to open",1,-1)*$N147*$E$2*$H147,0))</f>
        <v/>
      </c>
      <c r="T147" s="15" t="str">
        <f aca="false">IF(OR($C147="",$AA147="Open"),"",$O147+$S147-$K147)</f>
        <v/>
      </c>
      <c r="U147" s="15" t="str">
        <f aca="false">IF(OR($C147="",$AA147="Open"),"",IF(AND($C147="Covered call",$L147="Assigned"),($F147-$J147)*$E$2*$H147,0))</f>
        <v/>
      </c>
      <c r="V147" s="15" t="str">
        <f aca="false">IF(OR($C147="",$AA147="Open"),"",$T147+$U147)</f>
        <v/>
      </c>
      <c r="W147" s="15" t="str">
        <f aca="false">IF($C147="","",IF(OR($C147="Long call",$C147="Long put"),$I147*$E$2*$H147,(IF($C147="Covered call",$J147,$F147)-$I147)*$E$2*$H147))</f>
        <v/>
      </c>
      <c r="X147" s="17" t="str">
        <f aca="false">IF(OR($C147="",$AA147="Open"),"",IF($W147&gt;0,$V147/$W147,""))</f>
        <v/>
      </c>
      <c r="Y147" s="17" t="str">
        <f aca="false">IF(OR($C147="",$AA147="Open"),"",IF($W147&gt;0,$X147*365/MAX($Q147,1),""))</f>
        <v/>
      </c>
      <c r="Z147" s="18" t="str">
        <f aca="false">IF(OR($C147="",$AA147="Open"),"",IF($M147&lt;&gt;"",$M147,$G147))</f>
        <v/>
      </c>
      <c r="AA147" s="12" t="str">
        <f aca="false">IF($C147="","",IF(OR($L147="Open",$L147=""),"Open","Realized"))</f>
        <v/>
      </c>
    </row>
    <row r="148" customFormat="false" ht="15" hidden="false" customHeight="false" outlineLevel="0" collapsed="false">
      <c r="A148" s="7"/>
      <c r="B148" s="9"/>
      <c r="C148" s="9"/>
      <c r="D148" s="12" t="str">
        <f aca="false">IF($C148="","",IF(OR($C148="Long call",$C148="Covered call"),"Call","Put"))</f>
        <v/>
      </c>
      <c r="E148" s="12" t="str">
        <f aca="false">IF($C148="","",IF(OR($C148="Long call",$C148="Long put"),"Buy to open","Sell to open"))</f>
        <v/>
      </c>
      <c r="F148" s="13"/>
      <c r="G148" s="7"/>
      <c r="H148" s="14"/>
      <c r="I148" s="13"/>
      <c r="J148" s="13"/>
      <c r="K148" s="13"/>
      <c r="L148" s="9"/>
      <c r="M148" s="7"/>
      <c r="N148" s="13"/>
      <c r="O148" s="15" t="str">
        <f aca="false">IF($C148="","",IF($E148="Sell to open",1,-1)*$I148*$E$2*$H148)</f>
        <v/>
      </c>
      <c r="P148" s="15" t="str">
        <f aca="false">IF($C148="","",IF($C148="Long call",$F148+$I148,IF($C148="Covered call",$J148-$I148,$F148-$I148)))</f>
        <v/>
      </c>
      <c r="Q148" s="16" t="str">
        <f aca="false">IF($C148="","",IF($AA148="Open",$B$2,IF($M148&lt;&gt;"",$M148,$G148))-$A148)</f>
        <v/>
      </c>
      <c r="R148" s="16" t="str">
        <f aca="false">IF($C148="","",IF($AA148="Open",MAX($G148-$B$2,0),""))</f>
        <v/>
      </c>
      <c r="S148" s="15" t="str">
        <f aca="false">IF(OR($C148="",$AA148="Open"),"",IF($L148="Closed",-IF($E148="Sell to open",1,-1)*$N148*$E$2*$H148,0))</f>
        <v/>
      </c>
      <c r="T148" s="15" t="str">
        <f aca="false">IF(OR($C148="",$AA148="Open"),"",$O148+$S148-$K148)</f>
        <v/>
      </c>
      <c r="U148" s="15" t="str">
        <f aca="false">IF(OR($C148="",$AA148="Open"),"",IF(AND($C148="Covered call",$L148="Assigned"),($F148-$J148)*$E$2*$H148,0))</f>
        <v/>
      </c>
      <c r="V148" s="15" t="str">
        <f aca="false">IF(OR($C148="",$AA148="Open"),"",$T148+$U148)</f>
        <v/>
      </c>
      <c r="W148" s="15" t="str">
        <f aca="false">IF($C148="","",IF(OR($C148="Long call",$C148="Long put"),$I148*$E$2*$H148,(IF($C148="Covered call",$J148,$F148)-$I148)*$E$2*$H148))</f>
        <v/>
      </c>
      <c r="X148" s="17" t="str">
        <f aca="false">IF(OR($C148="",$AA148="Open"),"",IF($W148&gt;0,$V148/$W148,""))</f>
        <v/>
      </c>
      <c r="Y148" s="17" t="str">
        <f aca="false">IF(OR($C148="",$AA148="Open"),"",IF($W148&gt;0,$X148*365/MAX($Q148,1),""))</f>
        <v/>
      </c>
      <c r="Z148" s="18" t="str">
        <f aca="false">IF(OR($C148="",$AA148="Open"),"",IF($M148&lt;&gt;"",$M148,$G148))</f>
        <v/>
      </c>
      <c r="AA148" s="12" t="str">
        <f aca="false">IF($C148="","",IF(OR($L148="Open",$L148=""),"Open","Realized"))</f>
        <v/>
      </c>
    </row>
    <row r="149" customFormat="false" ht="15" hidden="false" customHeight="false" outlineLevel="0" collapsed="false">
      <c r="A149" s="7"/>
      <c r="B149" s="9"/>
      <c r="C149" s="9"/>
      <c r="D149" s="12" t="str">
        <f aca="false">IF($C149="","",IF(OR($C149="Long call",$C149="Covered call"),"Call","Put"))</f>
        <v/>
      </c>
      <c r="E149" s="12" t="str">
        <f aca="false">IF($C149="","",IF(OR($C149="Long call",$C149="Long put"),"Buy to open","Sell to open"))</f>
        <v/>
      </c>
      <c r="F149" s="13"/>
      <c r="G149" s="7"/>
      <c r="H149" s="14"/>
      <c r="I149" s="13"/>
      <c r="J149" s="13"/>
      <c r="K149" s="13"/>
      <c r="L149" s="9"/>
      <c r="M149" s="7"/>
      <c r="N149" s="13"/>
      <c r="O149" s="15" t="str">
        <f aca="false">IF($C149="","",IF($E149="Sell to open",1,-1)*$I149*$E$2*$H149)</f>
        <v/>
      </c>
      <c r="P149" s="15" t="str">
        <f aca="false">IF($C149="","",IF($C149="Long call",$F149+$I149,IF($C149="Covered call",$J149-$I149,$F149-$I149)))</f>
        <v/>
      </c>
      <c r="Q149" s="16" t="str">
        <f aca="false">IF($C149="","",IF($AA149="Open",$B$2,IF($M149&lt;&gt;"",$M149,$G149))-$A149)</f>
        <v/>
      </c>
      <c r="R149" s="16" t="str">
        <f aca="false">IF($C149="","",IF($AA149="Open",MAX($G149-$B$2,0),""))</f>
        <v/>
      </c>
      <c r="S149" s="15" t="str">
        <f aca="false">IF(OR($C149="",$AA149="Open"),"",IF($L149="Closed",-IF($E149="Sell to open",1,-1)*$N149*$E$2*$H149,0))</f>
        <v/>
      </c>
      <c r="T149" s="15" t="str">
        <f aca="false">IF(OR($C149="",$AA149="Open"),"",$O149+$S149-$K149)</f>
        <v/>
      </c>
      <c r="U149" s="15" t="str">
        <f aca="false">IF(OR($C149="",$AA149="Open"),"",IF(AND($C149="Covered call",$L149="Assigned"),($F149-$J149)*$E$2*$H149,0))</f>
        <v/>
      </c>
      <c r="V149" s="15" t="str">
        <f aca="false">IF(OR($C149="",$AA149="Open"),"",$T149+$U149)</f>
        <v/>
      </c>
      <c r="W149" s="15" t="str">
        <f aca="false">IF($C149="","",IF(OR($C149="Long call",$C149="Long put"),$I149*$E$2*$H149,(IF($C149="Covered call",$J149,$F149)-$I149)*$E$2*$H149))</f>
        <v/>
      </c>
      <c r="X149" s="17" t="str">
        <f aca="false">IF(OR($C149="",$AA149="Open"),"",IF($W149&gt;0,$V149/$W149,""))</f>
        <v/>
      </c>
      <c r="Y149" s="17" t="str">
        <f aca="false">IF(OR($C149="",$AA149="Open"),"",IF($W149&gt;0,$X149*365/MAX($Q149,1),""))</f>
        <v/>
      </c>
      <c r="Z149" s="18" t="str">
        <f aca="false">IF(OR($C149="",$AA149="Open"),"",IF($M149&lt;&gt;"",$M149,$G149))</f>
        <v/>
      </c>
      <c r="AA149" s="12" t="str">
        <f aca="false">IF($C149="","",IF(OR($L149="Open",$L149=""),"Open","Realized"))</f>
        <v/>
      </c>
    </row>
    <row r="150" customFormat="false" ht="15" hidden="false" customHeight="false" outlineLevel="0" collapsed="false">
      <c r="A150" s="7"/>
      <c r="B150" s="9"/>
      <c r="C150" s="9"/>
      <c r="D150" s="12" t="str">
        <f aca="false">IF($C150="","",IF(OR($C150="Long call",$C150="Covered call"),"Call","Put"))</f>
        <v/>
      </c>
      <c r="E150" s="12" t="str">
        <f aca="false">IF($C150="","",IF(OR($C150="Long call",$C150="Long put"),"Buy to open","Sell to open"))</f>
        <v/>
      </c>
      <c r="F150" s="13"/>
      <c r="G150" s="7"/>
      <c r="H150" s="14"/>
      <c r="I150" s="13"/>
      <c r="J150" s="13"/>
      <c r="K150" s="13"/>
      <c r="L150" s="9"/>
      <c r="M150" s="7"/>
      <c r="N150" s="13"/>
      <c r="O150" s="15" t="str">
        <f aca="false">IF($C150="","",IF($E150="Sell to open",1,-1)*$I150*$E$2*$H150)</f>
        <v/>
      </c>
      <c r="P150" s="15" t="str">
        <f aca="false">IF($C150="","",IF($C150="Long call",$F150+$I150,IF($C150="Covered call",$J150-$I150,$F150-$I150)))</f>
        <v/>
      </c>
      <c r="Q150" s="16" t="str">
        <f aca="false">IF($C150="","",IF($AA150="Open",$B$2,IF($M150&lt;&gt;"",$M150,$G150))-$A150)</f>
        <v/>
      </c>
      <c r="R150" s="16" t="str">
        <f aca="false">IF($C150="","",IF($AA150="Open",MAX($G150-$B$2,0),""))</f>
        <v/>
      </c>
      <c r="S150" s="15" t="str">
        <f aca="false">IF(OR($C150="",$AA150="Open"),"",IF($L150="Closed",-IF($E150="Sell to open",1,-1)*$N150*$E$2*$H150,0))</f>
        <v/>
      </c>
      <c r="T150" s="15" t="str">
        <f aca="false">IF(OR($C150="",$AA150="Open"),"",$O150+$S150-$K150)</f>
        <v/>
      </c>
      <c r="U150" s="15" t="str">
        <f aca="false">IF(OR($C150="",$AA150="Open"),"",IF(AND($C150="Covered call",$L150="Assigned"),($F150-$J150)*$E$2*$H150,0))</f>
        <v/>
      </c>
      <c r="V150" s="15" t="str">
        <f aca="false">IF(OR($C150="",$AA150="Open"),"",$T150+$U150)</f>
        <v/>
      </c>
      <c r="W150" s="15" t="str">
        <f aca="false">IF($C150="","",IF(OR($C150="Long call",$C150="Long put"),$I150*$E$2*$H150,(IF($C150="Covered call",$J150,$F150)-$I150)*$E$2*$H150))</f>
        <v/>
      </c>
      <c r="X150" s="17" t="str">
        <f aca="false">IF(OR($C150="",$AA150="Open"),"",IF($W150&gt;0,$V150/$W150,""))</f>
        <v/>
      </c>
      <c r="Y150" s="17" t="str">
        <f aca="false">IF(OR($C150="",$AA150="Open"),"",IF($W150&gt;0,$X150*365/MAX($Q150,1),""))</f>
        <v/>
      </c>
      <c r="Z150" s="18" t="str">
        <f aca="false">IF(OR($C150="",$AA150="Open"),"",IF($M150&lt;&gt;"",$M150,$G150))</f>
        <v/>
      </c>
      <c r="AA150" s="12" t="str">
        <f aca="false">IF($C150="","",IF(OR($L150="Open",$L150=""),"Open","Realized"))</f>
        <v/>
      </c>
    </row>
    <row r="151" customFormat="false" ht="15" hidden="false" customHeight="false" outlineLevel="0" collapsed="false">
      <c r="A151" s="7"/>
      <c r="B151" s="9"/>
      <c r="C151" s="9"/>
      <c r="D151" s="12" t="str">
        <f aca="false">IF($C151="","",IF(OR($C151="Long call",$C151="Covered call"),"Call","Put"))</f>
        <v/>
      </c>
      <c r="E151" s="12" t="str">
        <f aca="false">IF($C151="","",IF(OR($C151="Long call",$C151="Long put"),"Buy to open","Sell to open"))</f>
        <v/>
      </c>
      <c r="F151" s="13"/>
      <c r="G151" s="7"/>
      <c r="H151" s="14"/>
      <c r="I151" s="13"/>
      <c r="J151" s="13"/>
      <c r="K151" s="13"/>
      <c r="L151" s="9"/>
      <c r="M151" s="7"/>
      <c r="N151" s="13"/>
      <c r="O151" s="15" t="str">
        <f aca="false">IF($C151="","",IF($E151="Sell to open",1,-1)*$I151*$E$2*$H151)</f>
        <v/>
      </c>
      <c r="P151" s="15" t="str">
        <f aca="false">IF($C151="","",IF($C151="Long call",$F151+$I151,IF($C151="Covered call",$J151-$I151,$F151-$I151)))</f>
        <v/>
      </c>
      <c r="Q151" s="16" t="str">
        <f aca="false">IF($C151="","",IF($AA151="Open",$B$2,IF($M151&lt;&gt;"",$M151,$G151))-$A151)</f>
        <v/>
      </c>
      <c r="R151" s="16" t="str">
        <f aca="false">IF($C151="","",IF($AA151="Open",MAX($G151-$B$2,0),""))</f>
        <v/>
      </c>
      <c r="S151" s="15" t="str">
        <f aca="false">IF(OR($C151="",$AA151="Open"),"",IF($L151="Closed",-IF($E151="Sell to open",1,-1)*$N151*$E$2*$H151,0))</f>
        <v/>
      </c>
      <c r="T151" s="15" t="str">
        <f aca="false">IF(OR($C151="",$AA151="Open"),"",$O151+$S151-$K151)</f>
        <v/>
      </c>
      <c r="U151" s="15" t="str">
        <f aca="false">IF(OR($C151="",$AA151="Open"),"",IF(AND($C151="Covered call",$L151="Assigned"),($F151-$J151)*$E$2*$H151,0))</f>
        <v/>
      </c>
      <c r="V151" s="15" t="str">
        <f aca="false">IF(OR($C151="",$AA151="Open"),"",$T151+$U151)</f>
        <v/>
      </c>
      <c r="W151" s="15" t="str">
        <f aca="false">IF($C151="","",IF(OR($C151="Long call",$C151="Long put"),$I151*$E$2*$H151,(IF($C151="Covered call",$J151,$F151)-$I151)*$E$2*$H151))</f>
        <v/>
      </c>
      <c r="X151" s="17" t="str">
        <f aca="false">IF(OR($C151="",$AA151="Open"),"",IF($W151&gt;0,$V151/$W151,""))</f>
        <v/>
      </c>
      <c r="Y151" s="17" t="str">
        <f aca="false">IF(OR($C151="",$AA151="Open"),"",IF($W151&gt;0,$X151*365/MAX($Q151,1),""))</f>
        <v/>
      </c>
      <c r="Z151" s="18" t="str">
        <f aca="false">IF(OR($C151="",$AA151="Open"),"",IF($M151&lt;&gt;"",$M151,$G151))</f>
        <v/>
      </c>
      <c r="AA151" s="12" t="str">
        <f aca="false">IF($C151="","",IF(OR($L151="Open",$L151=""),"Open","Realized"))</f>
        <v/>
      </c>
    </row>
    <row r="152" customFormat="false" ht="15" hidden="false" customHeight="false" outlineLevel="0" collapsed="false">
      <c r="A152" s="7"/>
      <c r="B152" s="9"/>
      <c r="C152" s="9"/>
      <c r="D152" s="12" t="str">
        <f aca="false">IF($C152="","",IF(OR($C152="Long call",$C152="Covered call"),"Call","Put"))</f>
        <v/>
      </c>
      <c r="E152" s="12" t="str">
        <f aca="false">IF($C152="","",IF(OR($C152="Long call",$C152="Long put"),"Buy to open","Sell to open"))</f>
        <v/>
      </c>
      <c r="F152" s="13"/>
      <c r="G152" s="7"/>
      <c r="H152" s="14"/>
      <c r="I152" s="13"/>
      <c r="J152" s="13"/>
      <c r="K152" s="13"/>
      <c r="L152" s="9"/>
      <c r="M152" s="7"/>
      <c r="N152" s="13"/>
      <c r="O152" s="15" t="str">
        <f aca="false">IF($C152="","",IF($E152="Sell to open",1,-1)*$I152*$E$2*$H152)</f>
        <v/>
      </c>
      <c r="P152" s="15" t="str">
        <f aca="false">IF($C152="","",IF($C152="Long call",$F152+$I152,IF($C152="Covered call",$J152-$I152,$F152-$I152)))</f>
        <v/>
      </c>
      <c r="Q152" s="16" t="str">
        <f aca="false">IF($C152="","",IF($AA152="Open",$B$2,IF($M152&lt;&gt;"",$M152,$G152))-$A152)</f>
        <v/>
      </c>
      <c r="R152" s="16" t="str">
        <f aca="false">IF($C152="","",IF($AA152="Open",MAX($G152-$B$2,0),""))</f>
        <v/>
      </c>
      <c r="S152" s="15" t="str">
        <f aca="false">IF(OR($C152="",$AA152="Open"),"",IF($L152="Closed",-IF($E152="Sell to open",1,-1)*$N152*$E$2*$H152,0))</f>
        <v/>
      </c>
      <c r="T152" s="15" t="str">
        <f aca="false">IF(OR($C152="",$AA152="Open"),"",$O152+$S152-$K152)</f>
        <v/>
      </c>
      <c r="U152" s="15" t="str">
        <f aca="false">IF(OR($C152="",$AA152="Open"),"",IF(AND($C152="Covered call",$L152="Assigned"),($F152-$J152)*$E$2*$H152,0))</f>
        <v/>
      </c>
      <c r="V152" s="15" t="str">
        <f aca="false">IF(OR($C152="",$AA152="Open"),"",$T152+$U152)</f>
        <v/>
      </c>
      <c r="W152" s="15" t="str">
        <f aca="false">IF($C152="","",IF(OR($C152="Long call",$C152="Long put"),$I152*$E$2*$H152,(IF($C152="Covered call",$J152,$F152)-$I152)*$E$2*$H152))</f>
        <v/>
      </c>
      <c r="X152" s="17" t="str">
        <f aca="false">IF(OR($C152="",$AA152="Open"),"",IF($W152&gt;0,$V152/$W152,""))</f>
        <v/>
      </c>
      <c r="Y152" s="17" t="str">
        <f aca="false">IF(OR($C152="",$AA152="Open"),"",IF($W152&gt;0,$X152*365/MAX($Q152,1),""))</f>
        <v/>
      </c>
      <c r="Z152" s="18" t="str">
        <f aca="false">IF(OR($C152="",$AA152="Open"),"",IF($M152&lt;&gt;"",$M152,$G152))</f>
        <v/>
      </c>
      <c r="AA152" s="12" t="str">
        <f aca="false">IF($C152="","",IF(OR($L152="Open",$L152=""),"Open","Realized"))</f>
        <v/>
      </c>
    </row>
    <row r="153" customFormat="false" ht="15" hidden="false" customHeight="false" outlineLevel="0" collapsed="false">
      <c r="A153" s="7"/>
      <c r="B153" s="9"/>
      <c r="C153" s="9"/>
      <c r="D153" s="12" t="str">
        <f aca="false">IF($C153="","",IF(OR($C153="Long call",$C153="Covered call"),"Call","Put"))</f>
        <v/>
      </c>
      <c r="E153" s="12" t="str">
        <f aca="false">IF($C153="","",IF(OR($C153="Long call",$C153="Long put"),"Buy to open","Sell to open"))</f>
        <v/>
      </c>
      <c r="F153" s="13"/>
      <c r="G153" s="7"/>
      <c r="H153" s="14"/>
      <c r="I153" s="13"/>
      <c r="J153" s="13"/>
      <c r="K153" s="13"/>
      <c r="L153" s="9"/>
      <c r="M153" s="7"/>
      <c r="N153" s="13"/>
      <c r="O153" s="15" t="str">
        <f aca="false">IF($C153="","",IF($E153="Sell to open",1,-1)*$I153*$E$2*$H153)</f>
        <v/>
      </c>
      <c r="P153" s="15" t="str">
        <f aca="false">IF($C153="","",IF($C153="Long call",$F153+$I153,IF($C153="Covered call",$J153-$I153,$F153-$I153)))</f>
        <v/>
      </c>
      <c r="Q153" s="16" t="str">
        <f aca="false">IF($C153="","",IF($AA153="Open",$B$2,IF($M153&lt;&gt;"",$M153,$G153))-$A153)</f>
        <v/>
      </c>
      <c r="R153" s="16" t="str">
        <f aca="false">IF($C153="","",IF($AA153="Open",MAX($G153-$B$2,0),""))</f>
        <v/>
      </c>
      <c r="S153" s="15" t="str">
        <f aca="false">IF(OR($C153="",$AA153="Open"),"",IF($L153="Closed",-IF($E153="Sell to open",1,-1)*$N153*$E$2*$H153,0))</f>
        <v/>
      </c>
      <c r="T153" s="15" t="str">
        <f aca="false">IF(OR($C153="",$AA153="Open"),"",$O153+$S153-$K153)</f>
        <v/>
      </c>
      <c r="U153" s="15" t="str">
        <f aca="false">IF(OR($C153="",$AA153="Open"),"",IF(AND($C153="Covered call",$L153="Assigned"),($F153-$J153)*$E$2*$H153,0))</f>
        <v/>
      </c>
      <c r="V153" s="15" t="str">
        <f aca="false">IF(OR($C153="",$AA153="Open"),"",$T153+$U153)</f>
        <v/>
      </c>
      <c r="W153" s="15" t="str">
        <f aca="false">IF($C153="","",IF(OR($C153="Long call",$C153="Long put"),$I153*$E$2*$H153,(IF($C153="Covered call",$J153,$F153)-$I153)*$E$2*$H153))</f>
        <v/>
      </c>
      <c r="X153" s="17" t="str">
        <f aca="false">IF(OR($C153="",$AA153="Open"),"",IF($W153&gt;0,$V153/$W153,""))</f>
        <v/>
      </c>
      <c r="Y153" s="17" t="str">
        <f aca="false">IF(OR($C153="",$AA153="Open"),"",IF($W153&gt;0,$X153*365/MAX($Q153,1),""))</f>
        <v/>
      </c>
      <c r="Z153" s="18" t="str">
        <f aca="false">IF(OR($C153="",$AA153="Open"),"",IF($M153&lt;&gt;"",$M153,$G153))</f>
        <v/>
      </c>
      <c r="AA153" s="12" t="str">
        <f aca="false">IF($C153="","",IF(OR($L153="Open",$L153=""),"Open","Realized"))</f>
        <v/>
      </c>
    </row>
    <row r="154" customFormat="false" ht="15" hidden="false" customHeight="false" outlineLevel="0" collapsed="false">
      <c r="A154" s="7"/>
      <c r="B154" s="9"/>
      <c r="C154" s="9"/>
      <c r="D154" s="12" t="str">
        <f aca="false">IF($C154="","",IF(OR($C154="Long call",$C154="Covered call"),"Call","Put"))</f>
        <v/>
      </c>
      <c r="E154" s="12" t="str">
        <f aca="false">IF($C154="","",IF(OR($C154="Long call",$C154="Long put"),"Buy to open","Sell to open"))</f>
        <v/>
      </c>
      <c r="F154" s="13"/>
      <c r="G154" s="7"/>
      <c r="H154" s="14"/>
      <c r="I154" s="13"/>
      <c r="J154" s="13"/>
      <c r="K154" s="13"/>
      <c r="L154" s="9"/>
      <c r="M154" s="7"/>
      <c r="N154" s="13"/>
      <c r="O154" s="15" t="str">
        <f aca="false">IF($C154="","",IF($E154="Sell to open",1,-1)*$I154*$E$2*$H154)</f>
        <v/>
      </c>
      <c r="P154" s="15" t="str">
        <f aca="false">IF($C154="","",IF($C154="Long call",$F154+$I154,IF($C154="Covered call",$J154-$I154,$F154-$I154)))</f>
        <v/>
      </c>
      <c r="Q154" s="16" t="str">
        <f aca="false">IF($C154="","",IF($AA154="Open",$B$2,IF($M154&lt;&gt;"",$M154,$G154))-$A154)</f>
        <v/>
      </c>
      <c r="R154" s="16" t="str">
        <f aca="false">IF($C154="","",IF($AA154="Open",MAX($G154-$B$2,0),""))</f>
        <v/>
      </c>
      <c r="S154" s="15" t="str">
        <f aca="false">IF(OR($C154="",$AA154="Open"),"",IF($L154="Closed",-IF($E154="Sell to open",1,-1)*$N154*$E$2*$H154,0))</f>
        <v/>
      </c>
      <c r="T154" s="15" t="str">
        <f aca="false">IF(OR($C154="",$AA154="Open"),"",$O154+$S154-$K154)</f>
        <v/>
      </c>
      <c r="U154" s="15" t="str">
        <f aca="false">IF(OR($C154="",$AA154="Open"),"",IF(AND($C154="Covered call",$L154="Assigned"),($F154-$J154)*$E$2*$H154,0))</f>
        <v/>
      </c>
      <c r="V154" s="15" t="str">
        <f aca="false">IF(OR($C154="",$AA154="Open"),"",$T154+$U154)</f>
        <v/>
      </c>
      <c r="W154" s="15" t="str">
        <f aca="false">IF($C154="","",IF(OR($C154="Long call",$C154="Long put"),$I154*$E$2*$H154,(IF($C154="Covered call",$J154,$F154)-$I154)*$E$2*$H154))</f>
        <v/>
      </c>
      <c r="X154" s="17" t="str">
        <f aca="false">IF(OR($C154="",$AA154="Open"),"",IF($W154&gt;0,$V154/$W154,""))</f>
        <v/>
      </c>
      <c r="Y154" s="17" t="str">
        <f aca="false">IF(OR($C154="",$AA154="Open"),"",IF($W154&gt;0,$X154*365/MAX($Q154,1),""))</f>
        <v/>
      </c>
      <c r="Z154" s="18" t="str">
        <f aca="false">IF(OR($C154="",$AA154="Open"),"",IF($M154&lt;&gt;"",$M154,$G154))</f>
        <v/>
      </c>
      <c r="AA154" s="12" t="str">
        <f aca="false">IF($C154="","",IF(OR($L154="Open",$L154=""),"Open","Realized"))</f>
        <v/>
      </c>
    </row>
    <row r="155" customFormat="false" ht="15" hidden="false" customHeight="false" outlineLevel="0" collapsed="false">
      <c r="A155" s="7"/>
      <c r="B155" s="9"/>
      <c r="C155" s="9"/>
      <c r="D155" s="12" t="str">
        <f aca="false">IF($C155="","",IF(OR($C155="Long call",$C155="Covered call"),"Call","Put"))</f>
        <v/>
      </c>
      <c r="E155" s="12" t="str">
        <f aca="false">IF($C155="","",IF(OR($C155="Long call",$C155="Long put"),"Buy to open","Sell to open"))</f>
        <v/>
      </c>
      <c r="F155" s="13"/>
      <c r="G155" s="7"/>
      <c r="H155" s="14"/>
      <c r="I155" s="13"/>
      <c r="J155" s="13"/>
      <c r="K155" s="13"/>
      <c r="L155" s="9"/>
      <c r="M155" s="7"/>
      <c r="N155" s="13"/>
      <c r="O155" s="15" t="str">
        <f aca="false">IF($C155="","",IF($E155="Sell to open",1,-1)*$I155*$E$2*$H155)</f>
        <v/>
      </c>
      <c r="P155" s="15" t="str">
        <f aca="false">IF($C155="","",IF($C155="Long call",$F155+$I155,IF($C155="Covered call",$J155-$I155,$F155-$I155)))</f>
        <v/>
      </c>
      <c r="Q155" s="16" t="str">
        <f aca="false">IF($C155="","",IF($AA155="Open",$B$2,IF($M155&lt;&gt;"",$M155,$G155))-$A155)</f>
        <v/>
      </c>
      <c r="R155" s="16" t="str">
        <f aca="false">IF($C155="","",IF($AA155="Open",MAX($G155-$B$2,0),""))</f>
        <v/>
      </c>
      <c r="S155" s="15" t="str">
        <f aca="false">IF(OR($C155="",$AA155="Open"),"",IF($L155="Closed",-IF($E155="Sell to open",1,-1)*$N155*$E$2*$H155,0))</f>
        <v/>
      </c>
      <c r="T155" s="15" t="str">
        <f aca="false">IF(OR($C155="",$AA155="Open"),"",$O155+$S155-$K155)</f>
        <v/>
      </c>
      <c r="U155" s="15" t="str">
        <f aca="false">IF(OR($C155="",$AA155="Open"),"",IF(AND($C155="Covered call",$L155="Assigned"),($F155-$J155)*$E$2*$H155,0))</f>
        <v/>
      </c>
      <c r="V155" s="15" t="str">
        <f aca="false">IF(OR($C155="",$AA155="Open"),"",$T155+$U155)</f>
        <v/>
      </c>
      <c r="W155" s="15" t="str">
        <f aca="false">IF($C155="","",IF(OR($C155="Long call",$C155="Long put"),$I155*$E$2*$H155,(IF($C155="Covered call",$J155,$F155)-$I155)*$E$2*$H155))</f>
        <v/>
      </c>
      <c r="X155" s="17" t="str">
        <f aca="false">IF(OR($C155="",$AA155="Open"),"",IF($W155&gt;0,$V155/$W155,""))</f>
        <v/>
      </c>
      <c r="Y155" s="17" t="str">
        <f aca="false">IF(OR($C155="",$AA155="Open"),"",IF($W155&gt;0,$X155*365/MAX($Q155,1),""))</f>
        <v/>
      </c>
      <c r="Z155" s="18" t="str">
        <f aca="false">IF(OR($C155="",$AA155="Open"),"",IF($M155&lt;&gt;"",$M155,$G155))</f>
        <v/>
      </c>
      <c r="AA155" s="12" t="str">
        <f aca="false">IF($C155="","",IF(OR($L155="Open",$L155=""),"Open","Realized"))</f>
        <v/>
      </c>
    </row>
    <row r="156" customFormat="false" ht="15" hidden="false" customHeight="false" outlineLevel="0" collapsed="false">
      <c r="A156" s="7"/>
      <c r="B156" s="9"/>
      <c r="C156" s="9"/>
      <c r="D156" s="12" t="str">
        <f aca="false">IF($C156="","",IF(OR($C156="Long call",$C156="Covered call"),"Call","Put"))</f>
        <v/>
      </c>
      <c r="E156" s="12" t="str">
        <f aca="false">IF($C156="","",IF(OR($C156="Long call",$C156="Long put"),"Buy to open","Sell to open"))</f>
        <v/>
      </c>
      <c r="F156" s="13"/>
      <c r="G156" s="7"/>
      <c r="H156" s="14"/>
      <c r="I156" s="13"/>
      <c r="J156" s="13"/>
      <c r="K156" s="13"/>
      <c r="L156" s="9"/>
      <c r="M156" s="7"/>
      <c r="N156" s="13"/>
      <c r="O156" s="15" t="str">
        <f aca="false">IF($C156="","",IF($E156="Sell to open",1,-1)*$I156*$E$2*$H156)</f>
        <v/>
      </c>
      <c r="P156" s="15" t="str">
        <f aca="false">IF($C156="","",IF($C156="Long call",$F156+$I156,IF($C156="Covered call",$J156-$I156,$F156-$I156)))</f>
        <v/>
      </c>
      <c r="Q156" s="16" t="str">
        <f aca="false">IF($C156="","",IF($AA156="Open",$B$2,IF($M156&lt;&gt;"",$M156,$G156))-$A156)</f>
        <v/>
      </c>
      <c r="R156" s="16" t="str">
        <f aca="false">IF($C156="","",IF($AA156="Open",MAX($G156-$B$2,0),""))</f>
        <v/>
      </c>
      <c r="S156" s="15" t="str">
        <f aca="false">IF(OR($C156="",$AA156="Open"),"",IF($L156="Closed",-IF($E156="Sell to open",1,-1)*$N156*$E$2*$H156,0))</f>
        <v/>
      </c>
      <c r="T156" s="15" t="str">
        <f aca="false">IF(OR($C156="",$AA156="Open"),"",$O156+$S156-$K156)</f>
        <v/>
      </c>
      <c r="U156" s="15" t="str">
        <f aca="false">IF(OR($C156="",$AA156="Open"),"",IF(AND($C156="Covered call",$L156="Assigned"),($F156-$J156)*$E$2*$H156,0))</f>
        <v/>
      </c>
      <c r="V156" s="15" t="str">
        <f aca="false">IF(OR($C156="",$AA156="Open"),"",$T156+$U156)</f>
        <v/>
      </c>
      <c r="W156" s="15" t="str">
        <f aca="false">IF($C156="","",IF(OR($C156="Long call",$C156="Long put"),$I156*$E$2*$H156,(IF($C156="Covered call",$J156,$F156)-$I156)*$E$2*$H156))</f>
        <v/>
      </c>
      <c r="X156" s="17" t="str">
        <f aca="false">IF(OR($C156="",$AA156="Open"),"",IF($W156&gt;0,$V156/$W156,""))</f>
        <v/>
      </c>
      <c r="Y156" s="17" t="str">
        <f aca="false">IF(OR($C156="",$AA156="Open"),"",IF($W156&gt;0,$X156*365/MAX($Q156,1),""))</f>
        <v/>
      </c>
      <c r="Z156" s="18" t="str">
        <f aca="false">IF(OR($C156="",$AA156="Open"),"",IF($M156&lt;&gt;"",$M156,$G156))</f>
        <v/>
      </c>
      <c r="AA156" s="12" t="str">
        <f aca="false">IF($C156="","",IF(OR($L156="Open",$L156=""),"Open","Realized"))</f>
        <v/>
      </c>
    </row>
    <row r="157" customFormat="false" ht="15" hidden="false" customHeight="false" outlineLevel="0" collapsed="false">
      <c r="A157" s="7"/>
      <c r="B157" s="9"/>
      <c r="C157" s="9"/>
      <c r="D157" s="12" t="str">
        <f aca="false">IF($C157="","",IF(OR($C157="Long call",$C157="Covered call"),"Call","Put"))</f>
        <v/>
      </c>
      <c r="E157" s="12" t="str">
        <f aca="false">IF($C157="","",IF(OR($C157="Long call",$C157="Long put"),"Buy to open","Sell to open"))</f>
        <v/>
      </c>
      <c r="F157" s="13"/>
      <c r="G157" s="7"/>
      <c r="H157" s="14"/>
      <c r="I157" s="13"/>
      <c r="J157" s="13"/>
      <c r="K157" s="13"/>
      <c r="L157" s="9"/>
      <c r="M157" s="7"/>
      <c r="N157" s="13"/>
      <c r="O157" s="15" t="str">
        <f aca="false">IF($C157="","",IF($E157="Sell to open",1,-1)*$I157*$E$2*$H157)</f>
        <v/>
      </c>
      <c r="P157" s="15" t="str">
        <f aca="false">IF($C157="","",IF($C157="Long call",$F157+$I157,IF($C157="Covered call",$J157-$I157,$F157-$I157)))</f>
        <v/>
      </c>
      <c r="Q157" s="16" t="str">
        <f aca="false">IF($C157="","",IF($AA157="Open",$B$2,IF($M157&lt;&gt;"",$M157,$G157))-$A157)</f>
        <v/>
      </c>
      <c r="R157" s="16" t="str">
        <f aca="false">IF($C157="","",IF($AA157="Open",MAX($G157-$B$2,0),""))</f>
        <v/>
      </c>
      <c r="S157" s="15" t="str">
        <f aca="false">IF(OR($C157="",$AA157="Open"),"",IF($L157="Closed",-IF($E157="Sell to open",1,-1)*$N157*$E$2*$H157,0))</f>
        <v/>
      </c>
      <c r="T157" s="15" t="str">
        <f aca="false">IF(OR($C157="",$AA157="Open"),"",$O157+$S157-$K157)</f>
        <v/>
      </c>
      <c r="U157" s="15" t="str">
        <f aca="false">IF(OR($C157="",$AA157="Open"),"",IF(AND($C157="Covered call",$L157="Assigned"),($F157-$J157)*$E$2*$H157,0))</f>
        <v/>
      </c>
      <c r="V157" s="15" t="str">
        <f aca="false">IF(OR($C157="",$AA157="Open"),"",$T157+$U157)</f>
        <v/>
      </c>
      <c r="W157" s="15" t="str">
        <f aca="false">IF($C157="","",IF(OR($C157="Long call",$C157="Long put"),$I157*$E$2*$H157,(IF($C157="Covered call",$J157,$F157)-$I157)*$E$2*$H157))</f>
        <v/>
      </c>
      <c r="X157" s="17" t="str">
        <f aca="false">IF(OR($C157="",$AA157="Open"),"",IF($W157&gt;0,$V157/$W157,""))</f>
        <v/>
      </c>
      <c r="Y157" s="17" t="str">
        <f aca="false">IF(OR($C157="",$AA157="Open"),"",IF($W157&gt;0,$X157*365/MAX($Q157,1),""))</f>
        <v/>
      </c>
      <c r="Z157" s="18" t="str">
        <f aca="false">IF(OR($C157="",$AA157="Open"),"",IF($M157&lt;&gt;"",$M157,$G157))</f>
        <v/>
      </c>
      <c r="AA157" s="12" t="str">
        <f aca="false">IF($C157="","",IF(OR($L157="Open",$L157=""),"Open","Realized"))</f>
        <v/>
      </c>
    </row>
    <row r="158" customFormat="false" ht="15" hidden="false" customHeight="false" outlineLevel="0" collapsed="false">
      <c r="A158" s="7"/>
      <c r="B158" s="9"/>
      <c r="C158" s="9"/>
      <c r="D158" s="12" t="str">
        <f aca="false">IF($C158="","",IF(OR($C158="Long call",$C158="Covered call"),"Call","Put"))</f>
        <v/>
      </c>
      <c r="E158" s="12" t="str">
        <f aca="false">IF($C158="","",IF(OR($C158="Long call",$C158="Long put"),"Buy to open","Sell to open"))</f>
        <v/>
      </c>
      <c r="F158" s="13"/>
      <c r="G158" s="7"/>
      <c r="H158" s="14"/>
      <c r="I158" s="13"/>
      <c r="J158" s="13"/>
      <c r="K158" s="13"/>
      <c r="L158" s="9"/>
      <c r="M158" s="7"/>
      <c r="N158" s="13"/>
      <c r="O158" s="15" t="str">
        <f aca="false">IF($C158="","",IF($E158="Sell to open",1,-1)*$I158*$E$2*$H158)</f>
        <v/>
      </c>
      <c r="P158" s="15" t="str">
        <f aca="false">IF($C158="","",IF($C158="Long call",$F158+$I158,IF($C158="Covered call",$J158-$I158,$F158-$I158)))</f>
        <v/>
      </c>
      <c r="Q158" s="16" t="str">
        <f aca="false">IF($C158="","",IF($AA158="Open",$B$2,IF($M158&lt;&gt;"",$M158,$G158))-$A158)</f>
        <v/>
      </c>
      <c r="R158" s="16" t="str">
        <f aca="false">IF($C158="","",IF($AA158="Open",MAX($G158-$B$2,0),""))</f>
        <v/>
      </c>
      <c r="S158" s="15" t="str">
        <f aca="false">IF(OR($C158="",$AA158="Open"),"",IF($L158="Closed",-IF($E158="Sell to open",1,-1)*$N158*$E$2*$H158,0))</f>
        <v/>
      </c>
      <c r="T158" s="15" t="str">
        <f aca="false">IF(OR($C158="",$AA158="Open"),"",$O158+$S158-$K158)</f>
        <v/>
      </c>
      <c r="U158" s="15" t="str">
        <f aca="false">IF(OR($C158="",$AA158="Open"),"",IF(AND($C158="Covered call",$L158="Assigned"),($F158-$J158)*$E$2*$H158,0))</f>
        <v/>
      </c>
      <c r="V158" s="15" t="str">
        <f aca="false">IF(OR($C158="",$AA158="Open"),"",$T158+$U158)</f>
        <v/>
      </c>
      <c r="W158" s="15" t="str">
        <f aca="false">IF($C158="","",IF(OR($C158="Long call",$C158="Long put"),$I158*$E$2*$H158,(IF($C158="Covered call",$J158,$F158)-$I158)*$E$2*$H158))</f>
        <v/>
      </c>
      <c r="X158" s="17" t="str">
        <f aca="false">IF(OR($C158="",$AA158="Open"),"",IF($W158&gt;0,$V158/$W158,""))</f>
        <v/>
      </c>
      <c r="Y158" s="17" t="str">
        <f aca="false">IF(OR($C158="",$AA158="Open"),"",IF($W158&gt;0,$X158*365/MAX($Q158,1),""))</f>
        <v/>
      </c>
      <c r="Z158" s="18" t="str">
        <f aca="false">IF(OR($C158="",$AA158="Open"),"",IF($M158&lt;&gt;"",$M158,$G158))</f>
        <v/>
      </c>
      <c r="AA158" s="12" t="str">
        <f aca="false">IF($C158="","",IF(OR($L158="Open",$L158=""),"Open","Realized"))</f>
        <v/>
      </c>
    </row>
    <row r="159" customFormat="false" ht="15" hidden="false" customHeight="false" outlineLevel="0" collapsed="false">
      <c r="A159" s="7"/>
      <c r="B159" s="9"/>
      <c r="C159" s="9"/>
      <c r="D159" s="12" t="str">
        <f aca="false">IF($C159="","",IF(OR($C159="Long call",$C159="Covered call"),"Call","Put"))</f>
        <v/>
      </c>
      <c r="E159" s="12" t="str">
        <f aca="false">IF($C159="","",IF(OR($C159="Long call",$C159="Long put"),"Buy to open","Sell to open"))</f>
        <v/>
      </c>
      <c r="F159" s="13"/>
      <c r="G159" s="7"/>
      <c r="H159" s="14"/>
      <c r="I159" s="13"/>
      <c r="J159" s="13"/>
      <c r="K159" s="13"/>
      <c r="L159" s="9"/>
      <c r="M159" s="7"/>
      <c r="N159" s="13"/>
      <c r="O159" s="15" t="str">
        <f aca="false">IF($C159="","",IF($E159="Sell to open",1,-1)*$I159*$E$2*$H159)</f>
        <v/>
      </c>
      <c r="P159" s="15" t="str">
        <f aca="false">IF($C159="","",IF($C159="Long call",$F159+$I159,IF($C159="Covered call",$J159-$I159,$F159-$I159)))</f>
        <v/>
      </c>
      <c r="Q159" s="16" t="str">
        <f aca="false">IF($C159="","",IF($AA159="Open",$B$2,IF($M159&lt;&gt;"",$M159,$G159))-$A159)</f>
        <v/>
      </c>
      <c r="R159" s="16" t="str">
        <f aca="false">IF($C159="","",IF($AA159="Open",MAX($G159-$B$2,0),""))</f>
        <v/>
      </c>
      <c r="S159" s="15" t="str">
        <f aca="false">IF(OR($C159="",$AA159="Open"),"",IF($L159="Closed",-IF($E159="Sell to open",1,-1)*$N159*$E$2*$H159,0))</f>
        <v/>
      </c>
      <c r="T159" s="15" t="str">
        <f aca="false">IF(OR($C159="",$AA159="Open"),"",$O159+$S159-$K159)</f>
        <v/>
      </c>
      <c r="U159" s="15" t="str">
        <f aca="false">IF(OR($C159="",$AA159="Open"),"",IF(AND($C159="Covered call",$L159="Assigned"),($F159-$J159)*$E$2*$H159,0))</f>
        <v/>
      </c>
      <c r="V159" s="15" t="str">
        <f aca="false">IF(OR($C159="",$AA159="Open"),"",$T159+$U159)</f>
        <v/>
      </c>
      <c r="W159" s="15" t="str">
        <f aca="false">IF($C159="","",IF(OR($C159="Long call",$C159="Long put"),$I159*$E$2*$H159,(IF($C159="Covered call",$J159,$F159)-$I159)*$E$2*$H159))</f>
        <v/>
      </c>
      <c r="X159" s="17" t="str">
        <f aca="false">IF(OR($C159="",$AA159="Open"),"",IF($W159&gt;0,$V159/$W159,""))</f>
        <v/>
      </c>
      <c r="Y159" s="17" t="str">
        <f aca="false">IF(OR($C159="",$AA159="Open"),"",IF($W159&gt;0,$X159*365/MAX($Q159,1),""))</f>
        <v/>
      </c>
      <c r="Z159" s="18" t="str">
        <f aca="false">IF(OR($C159="",$AA159="Open"),"",IF($M159&lt;&gt;"",$M159,$G159))</f>
        <v/>
      </c>
      <c r="AA159" s="12" t="str">
        <f aca="false">IF($C159="","",IF(OR($L159="Open",$L159=""),"Open","Realized"))</f>
        <v/>
      </c>
    </row>
    <row r="160" customFormat="false" ht="15" hidden="false" customHeight="false" outlineLevel="0" collapsed="false">
      <c r="A160" s="7"/>
      <c r="B160" s="9"/>
      <c r="C160" s="9"/>
      <c r="D160" s="12" t="str">
        <f aca="false">IF($C160="","",IF(OR($C160="Long call",$C160="Covered call"),"Call","Put"))</f>
        <v/>
      </c>
      <c r="E160" s="12" t="str">
        <f aca="false">IF($C160="","",IF(OR($C160="Long call",$C160="Long put"),"Buy to open","Sell to open"))</f>
        <v/>
      </c>
      <c r="F160" s="13"/>
      <c r="G160" s="7"/>
      <c r="H160" s="14"/>
      <c r="I160" s="13"/>
      <c r="J160" s="13"/>
      <c r="K160" s="13"/>
      <c r="L160" s="9"/>
      <c r="M160" s="7"/>
      <c r="N160" s="13"/>
      <c r="O160" s="15" t="str">
        <f aca="false">IF($C160="","",IF($E160="Sell to open",1,-1)*$I160*$E$2*$H160)</f>
        <v/>
      </c>
      <c r="P160" s="15" t="str">
        <f aca="false">IF($C160="","",IF($C160="Long call",$F160+$I160,IF($C160="Covered call",$J160-$I160,$F160-$I160)))</f>
        <v/>
      </c>
      <c r="Q160" s="16" t="str">
        <f aca="false">IF($C160="","",IF($AA160="Open",$B$2,IF($M160&lt;&gt;"",$M160,$G160))-$A160)</f>
        <v/>
      </c>
      <c r="R160" s="16" t="str">
        <f aca="false">IF($C160="","",IF($AA160="Open",MAX($G160-$B$2,0),""))</f>
        <v/>
      </c>
      <c r="S160" s="15" t="str">
        <f aca="false">IF(OR($C160="",$AA160="Open"),"",IF($L160="Closed",-IF($E160="Sell to open",1,-1)*$N160*$E$2*$H160,0))</f>
        <v/>
      </c>
      <c r="T160" s="15" t="str">
        <f aca="false">IF(OR($C160="",$AA160="Open"),"",$O160+$S160-$K160)</f>
        <v/>
      </c>
      <c r="U160" s="15" t="str">
        <f aca="false">IF(OR($C160="",$AA160="Open"),"",IF(AND($C160="Covered call",$L160="Assigned"),($F160-$J160)*$E$2*$H160,0))</f>
        <v/>
      </c>
      <c r="V160" s="15" t="str">
        <f aca="false">IF(OR($C160="",$AA160="Open"),"",$T160+$U160)</f>
        <v/>
      </c>
      <c r="W160" s="15" t="str">
        <f aca="false">IF($C160="","",IF(OR($C160="Long call",$C160="Long put"),$I160*$E$2*$H160,(IF($C160="Covered call",$J160,$F160)-$I160)*$E$2*$H160))</f>
        <v/>
      </c>
      <c r="X160" s="17" t="str">
        <f aca="false">IF(OR($C160="",$AA160="Open"),"",IF($W160&gt;0,$V160/$W160,""))</f>
        <v/>
      </c>
      <c r="Y160" s="17" t="str">
        <f aca="false">IF(OR($C160="",$AA160="Open"),"",IF($W160&gt;0,$X160*365/MAX($Q160,1),""))</f>
        <v/>
      </c>
      <c r="Z160" s="18" t="str">
        <f aca="false">IF(OR($C160="",$AA160="Open"),"",IF($M160&lt;&gt;"",$M160,$G160))</f>
        <v/>
      </c>
      <c r="AA160" s="12" t="str">
        <f aca="false">IF($C160="","",IF(OR($L160="Open",$L160=""),"Open","Realized"))</f>
        <v/>
      </c>
    </row>
    <row r="161" customFormat="false" ht="15" hidden="false" customHeight="false" outlineLevel="0" collapsed="false">
      <c r="A161" s="7"/>
      <c r="B161" s="9"/>
      <c r="C161" s="9"/>
      <c r="D161" s="12" t="str">
        <f aca="false">IF($C161="","",IF(OR($C161="Long call",$C161="Covered call"),"Call","Put"))</f>
        <v/>
      </c>
      <c r="E161" s="12" t="str">
        <f aca="false">IF($C161="","",IF(OR($C161="Long call",$C161="Long put"),"Buy to open","Sell to open"))</f>
        <v/>
      </c>
      <c r="F161" s="13"/>
      <c r="G161" s="7"/>
      <c r="H161" s="14"/>
      <c r="I161" s="13"/>
      <c r="J161" s="13"/>
      <c r="K161" s="13"/>
      <c r="L161" s="9"/>
      <c r="M161" s="7"/>
      <c r="N161" s="13"/>
      <c r="O161" s="15" t="str">
        <f aca="false">IF($C161="","",IF($E161="Sell to open",1,-1)*$I161*$E$2*$H161)</f>
        <v/>
      </c>
      <c r="P161" s="15" t="str">
        <f aca="false">IF($C161="","",IF($C161="Long call",$F161+$I161,IF($C161="Covered call",$J161-$I161,$F161-$I161)))</f>
        <v/>
      </c>
      <c r="Q161" s="16" t="str">
        <f aca="false">IF($C161="","",IF($AA161="Open",$B$2,IF($M161&lt;&gt;"",$M161,$G161))-$A161)</f>
        <v/>
      </c>
      <c r="R161" s="16" t="str">
        <f aca="false">IF($C161="","",IF($AA161="Open",MAX($G161-$B$2,0),""))</f>
        <v/>
      </c>
      <c r="S161" s="15" t="str">
        <f aca="false">IF(OR($C161="",$AA161="Open"),"",IF($L161="Closed",-IF($E161="Sell to open",1,-1)*$N161*$E$2*$H161,0))</f>
        <v/>
      </c>
      <c r="T161" s="15" t="str">
        <f aca="false">IF(OR($C161="",$AA161="Open"),"",$O161+$S161-$K161)</f>
        <v/>
      </c>
      <c r="U161" s="15" t="str">
        <f aca="false">IF(OR($C161="",$AA161="Open"),"",IF(AND($C161="Covered call",$L161="Assigned"),($F161-$J161)*$E$2*$H161,0))</f>
        <v/>
      </c>
      <c r="V161" s="15" t="str">
        <f aca="false">IF(OR($C161="",$AA161="Open"),"",$T161+$U161)</f>
        <v/>
      </c>
      <c r="W161" s="15" t="str">
        <f aca="false">IF($C161="","",IF(OR($C161="Long call",$C161="Long put"),$I161*$E$2*$H161,(IF($C161="Covered call",$J161,$F161)-$I161)*$E$2*$H161))</f>
        <v/>
      </c>
      <c r="X161" s="17" t="str">
        <f aca="false">IF(OR($C161="",$AA161="Open"),"",IF($W161&gt;0,$V161/$W161,""))</f>
        <v/>
      </c>
      <c r="Y161" s="17" t="str">
        <f aca="false">IF(OR($C161="",$AA161="Open"),"",IF($W161&gt;0,$X161*365/MAX($Q161,1),""))</f>
        <v/>
      </c>
      <c r="Z161" s="18" t="str">
        <f aca="false">IF(OR($C161="",$AA161="Open"),"",IF($M161&lt;&gt;"",$M161,$G161))</f>
        <v/>
      </c>
      <c r="AA161" s="12" t="str">
        <f aca="false">IF($C161="","",IF(OR($L161="Open",$L161=""),"Open","Realized"))</f>
        <v/>
      </c>
    </row>
    <row r="162" customFormat="false" ht="15" hidden="false" customHeight="false" outlineLevel="0" collapsed="false">
      <c r="A162" s="7"/>
      <c r="B162" s="9"/>
      <c r="C162" s="9"/>
      <c r="D162" s="12" t="str">
        <f aca="false">IF($C162="","",IF(OR($C162="Long call",$C162="Covered call"),"Call","Put"))</f>
        <v/>
      </c>
      <c r="E162" s="12" t="str">
        <f aca="false">IF($C162="","",IF(OR($C162="Long call",$C162="Long put"),"Buy to open","Sell to open"))</f>
        <v/>
      </c>
      <c r="F162" s="13"/>
      <c r="G162" s="7"/>
      <c r="H162" s="14"/>
      <c r="I162" s="13"/>
      <c r="J162" s="13"/>
      <c r="K162" s="13"/>
      <c r="L162" s="9"/>
      <c r="M162" s="7"/>
      <c r="N162" s="13"/>
      <c r="O162" s="15" t="str">
        <f aca="false">IF($C162="","",IF($E162="Sell to open",1,-1)*$I162*$E$2*$H162)</f>
        <v/>
      </c>
      <c r="P162" s="15" t="str">
        <f aca="false">IF($C162="","",IF($C162="Long call",$F162+$I162,IF($C162="Covered call",$J162-$I162,$F162-$I162)))</f>
        <v/>
      </c>
      <c r="Q162" s="16" t="str">
        <f aca="false">IF($C162="","",IF($AA162="Open",$B$2,IF($M162&lt;&gt;"",$M162,$G162))-$A162)</f>
        <v/>
      </c>
      <c r="R162" s="16" t="str">
        <f aca="false">IF($C162="","",IF($AA162="Open",MAX($G162-$B$2,0),""))</f>
        <v/>
      </c>
      <c r="S162" s="15" t="str">
        <f aca="false">IF(OR($C162="",$AA162="Open"),"",IF($L162="Closed",-IF($E162="Sell to open",1,-1)*$N162*$E$2*$H162,0))</f>
        <v/>
      </c>
      <c r="T162" s="15" t="str">
        <f aca="false">IF(OR($C162="",$AA162="Open"),"",$O162+$S162-$K162)</f>
        <v/>
      </c>
      <c r="U162" s="15" t="str">
        <f aca="false">IF(OR($C162="",$AA162="Open"),"",IF(AND($C162="Covered call",$L162="Assigned"),($F162-$J162)*$E$2*$H162,0))</f>
        <v/>
      </c>
      <c r="V162" s="15" t="str">
        <f aca="false">IF(OR($C162="",$AA162="Open"),"",$T162+$U162)</f>
        <v/>
      </c>
      <c r="W162" s="15" t="str">
        <f aca="false">IF($C162="","",IF(OR($C162="Long call",$C162="Long put"),$I162*$E$2*$H162,(IF($C162="Covered call",$J162,$F162)-$I162)*$E$2*$H162))</f>
        <v/>
      </c>
      <c r="X162" s="17" t="str">
        <f aca="false">IF(OR($C162="",$AA162="Open"),"",IF($W162&gt;0,$V162/$W162,""))</f>
        <v/>
      </c>
      <c r="Y162" s="17" t="str">
        <f aca="false">IF(OR($C162="",$AA162="Open"),"",IF($W162&gt;0,$X162*365/MAX($Q162,1),""))</f>
        <v/>
      </c>
      <c r="Z162" s="18" t="str">
        <f aca="false">IF(OR($C162="",$AA162="Open"),"",IF($M162&lt;&gt;"",$M162,$G162))</f>
        <v/>
      </c>
      <c r="AA162" s="12" t="str">
        <f aca="false">IF($C162="","",IF(OR($L162="Open",$L162=""),"Open","Realized"))</f>
        <v/>
      </c>
    </row>
    <row r="163" customFormat="false" ht="15" hidden="false" customHeight="false" outlineLevel="0" collapsed="false">
      <c r="A163" s="7"/>
      <c r="B163" s="9"/>
      <c r="C163" s="9"/>
      <c r="D163" s="12" t="str">
        <f aca="false">IF($C163="","",IF(OR($C163="Long call",$C163="Covered call"),"Call","Put"))</f>
        <v/>
      </c>
      <c r="E163" s="12" t="str">
        <f aca="false">IF($C163="","",IF(OR($C163="Long call",$C163="Long put"),"Buy to open","Sell to open"))</f>
        <v/>
      </c>
      <c r="F163" s="13"/>
      <c r="G163" s="7"/>
      <c r="H163" s="14"/>
      <c r="I163" s="13"/>
      <c r="J163" s="13"/>
      <c r="K163" s="13"/>
      <c r="L163" s="9"/>
      <c r="M163" s="7"/>
      <c r="N163" s="13"/>
      <c r="O163" s="15" t="str">
        <f aca="false">IF($C163="","",IF($E163="Sell to open",1,-1)*$I163*$E$2*$H163)</f>
        <v/>
      </c>
      <c r="P163" s="15" t="str">
        <f aca="false">IF($C163="","",IF($C163="Long call",$F163+$I163,IF($C163="Covered call",$J163-$I163,$F163-$I163)))</f>
        <v/>
      </c>
      <c r="Q163" s="16" t="str">
        <f aca="false">IF($C163="","",IF($AA163="Open",$B$2,IF($M163&lt;&gt;"",$M163,$G163))-$A163)</f>
        <v/>
      </c>
      <c r="R163" s="16" t="str">
        <f aca="false">IF($C163="","",IF($AA163="Open",MAX($G163-$B$2,0),""))</f>
        <v/>
      </c>
      <c r="S163" s="15" t="str">
        <f aca="false">IF(OR($C163="",$AA163="Open"),"",IF($L163="Closed",-IF($E163="Sell to open",1,-1)*$N163*$E$2*$H163,0))</f>
        <v/>
      </c>
      <c r="T163" s="15" t="str">
        <f aca="false">IF(OR($C163="",$AA163="Open"),"",$O163+$S163-$K163)</f>
        <v/>
      </c>
      <c r="U163" s="15" t="str">
        <f aca="false">IF(OR($C163="",$AA163="Open"),"",IF(AND($C163="Covered call",$L163="Assigned"),($F163-$J163)*$E$2*$H163,0))</f>
        <v/>
      </c>
      <c r="V163" s="15" t="str">
        <f aca="false">IF(OR($C163="",$AA163="Open"),"",$T163+$U163)</f>
        <v/>
      </c>
      <c r="W163" s="15" t="str">
        <f aca="false">IF($C163="","",IF(OR($C163="Long call",$C163="Long put"),$I163*$E$2*$H163,(IF($C163="Covered call",$J163,$F163)-$I163)*$E$2*$H163))</f>
        <v/>
      </c>
      <c r="X163" s="17" t="str">
        <f aca="false">IF(OR($C163="",$AA163="Open"),"",IF($W163&gt;0,$V163/$W163,""))</f>
        <v/>
      </c>
      <c r="Y163" s="17" t="str">
        <f aca="false">IF(OR($C163="",$AA163="Open"),"",IF($W163&gt;0,$X163*365/MAX($Q163,1),""))</f>
        <v/>
      </c>
      <c r="Z163" s="18" t="str">
        <f aca="false">IF(OR($C163="",$AA163="Open"),"",IF($M163&lt;&gt;"",$M163,$G163))</f>
        <v/>
      </c>
      <c r="AA163" s="12" t="str">
        <f aca="false">IF($C163="","",IF(OR($L163="Open",$L163=""),"Open","Realized"))</f>
        <v/>
      </c>
    </row>
    <row r="164" customFormat="false" ht="15" hidden="false" customHeight="false" outlineLevel="0" collapsed="false">
      <c r="A164" s="7"/>
      <c r="B164" s="9"/>
      <c r="C164" s="9"/>
      <c r="D164" s="12" t="str">
        <f aca="false">IF($C164="","",IF(OR($C164="Long call",$C164="Covered call"),"Call","Put"))</f>
        <v/>
      </c>
      <c r="E164" s="12" t="str">
        <f aca="false">IF($C164="","",IF(OR($C164="Long call",$C164="Long put"),"Buy to open","Sell to open"))</f>
        <v/>
      </c>
      <c r="F164" s="13"/>
      <c r="G164" s="7"/>
      <c r="H164" s="14"/>
      <c r="I164" s="13"/>
      <c r="J164" s="13"/>
      <c r="K164" s="13"/>
      <c r="L164" s="9"/>
      <c r="M164" s="7"/>
      <c r="N164" s="13"/>
      <c r="O164" s="15" t="str">
        <f aca="false">IF($C164="","",IF($E164="Sell to open",1,-1)*$I164*$E$2*$H164)</f>
        <v/>
      </c>
      <c r="P164" s="15" t="str">
        <f aca="false">IF($C164="","",IF($C164="Long call",$F164+$I164,IF($C164="Covered call",$J164-$I164,$F164-$I164)))</f>
        <v/>
      </c>
      <c r="Q164" s="16" t="str">
        <f aca="false">IF($C164="","",IF($AA164="Open",$B$2,IF($M164&lt;&gt;"",$M164,$G164))-$A164)</f>
        <v/>
      </c>
      <c r="R164" s="16" t="str">
        <f aca="false">IF($C164="","",IF($AA164="Open",MAX($G164-$B$2,0),""))</f>
        <v/>
      </c>
      <c r="S164" s="15" t="str">
        <f aca="false">IF(OR($C164="",$AA164="Open"),"",IF($L164="Closed",-IF($E164="Sell to open",1,-1)*$N164*$E$2*$H164,0))</f>
        <v/>
      </c>
      <c r="T164" s="15" t="str">
        <f aca="false">IF(OR($C164="",$AA164="Open"),"",$O164+$S164-$K164)</f>
        <v/>
      </c>
      <c r="U164" s="15" t="str">
        <f aca="false">IF(OR($C164="",$AA164="Open"),"",IF(AND($C164="Covered call",$L164="Assigned"),($F164-$J164)*$E$2*$H164,0))</f>
        <v/>
      </c>
      <c r="V164" s="15" t="str">
        <f aca="false">IF(OR($C164="",$AA164="Open"),"",$T164+$U164)</f>
        <v/>
      </c>
      <c r="W164" s="15" t="str">
        <f aca="false">IF($C164="","",IF(OR($C164="Long call",$C164="Long put"),$I164*$E$2*$H164,(IF($C164="Covered call",$J164,$F164)-$I164)*$E$2*$H164))</f>
        <v/>
      </c>
      <c r="X164" s="17" t="str">
        <f aca="false">IF(OR($C164="",$AA164="Open"),"",IF($W164&gt;0,$V164/$W164,""))</f>
        <v/>
      </c>
      <c r="Y164" s="17" t="str">
        <f aca="false">IF(OR($C164="",$AA164="Open"),"",IF($W164&gt;0,$X164*365/MAX($Q164,1),""))</f>
        <v/>
      </c>
      <c r="Z164" s="18" t="str">
        <f aca="false">IF(OR($C164="",$AA164="Open"),"",IF($M164&lt;&gt;"",$M164,$G164))</f>
        <v/>
      </c>
      <c r="AA164" s="12" t="str">
        <f aca="false">IF($C164="","",IF(OR($L164="Open",$L164=""),"Open","Realized"))</f>
        <v/>
      </c>
    </row>
    <row r="165" customFormat="false" ht="15" hidden="false" customHeight="false" outlineLevel="0" collapsed="false">
      <c r="A165" s="7"/>
      <c r="B165" s="9"/>
      <c r="C165" s="9"/>
      <c r="D165" s="12" t="str">
        <f aca="false">IF($C165="","",IF(OR($C165="Long call",$C165="Covered call"),"Call","Put"))</f>
        <v/>
      </c>
      <c r="E165" s="12" t="str">
        <f aca="false">IF($C165="","",IF(OR($C165="Long call",$C165="Long put"),"Buy to open","Sell to open"))</f>
        <v/>
      </c>
      <c r="F165" s="13"/>
      <c r="G165" s="7"/>
      <c r="H165" s="14"/>
      <c r="I165" s="13"/>
      <c r="J165" s="13"/>
      <c r="K165" s="13"/>
      <c r="L165" s="9"/>
      <c r="M165" s="7"/>
      <c r="N165" s="13"/>
      <c r="O165" s="15" t="str">
        <f aca="false">IF($C165="","",IF($E165="Sell to open",1,-1)*$I165*$E$2*$H165)</f>
        <v/>
      </c>
      <c r="P165" s="15" t="str">
        <f aca="false">IF($C165="","",IF($C165="Long call",$F165+$I165,IF($C165="Covered call",$J165-$I165,$F165-$I165)))</f>
        <v/>
      </c>
      <c r="Q165" s="16" t="str">
        <f aca="false">IF($C165="","",IF($AA165="Open",$B$2,IF($M165&lt;&gt;"",$M165,$G165))-$A165)</f>
        <v/>
      </c>
      <c r="R165" s="16" t="str">
        <f aca="false">IF($C165="","",IF($AA165="Open",MAX($G165-$B$2,0),""))</f>
        <v/>
      </c>
      <c r="S165" s="15" t="str">
        <f aca="false">IF(OR($C165="",$AA165="Open"),"",IF($L165="Closed",-IF($E165="Sell to open",1,-1)*$N165*$E$2*$H165,0))</f>
        <v/>
      </c>
      <c r="T165" s="15" t="str">
        <f aca="false">IF(OR($C165="",$AA165="Open"),"",$O165+$S165-$K165)</f>
        <v/>
      </c>
      <c r="U165" s="15" t="str">
        <f aca="false">IF(OR($C165="",$AA165="Open"),"",IF(AND($C165="Covered call",$L165="Assigned"),($F165-$J165)*$E$2*$H165,0))</f>
        <v/>
      </c>
      <c r="V165" s="15" t="str">
        <f aca="false">IF(OR($C165="",$AA165="Open"),"",$T165+$U165)</f>
        <v/>
      </c>
      <c r="W165" s="15" t="str">
        <f aca="false">IF($C165="","",IF(OR($C165="Long call",$C165="Long put"),$I165*$E$2*$H165,(IF($C165="Covered call",$J165,$F165)-$I165)*$E$2*$H165))</f>
        <v/>
      </c>
      <c r="X165" s="17" t="str">
        <f aca="false">IF(OR($C165="",$AA165="Open"),"",IF($W165&gt;0,$V165/$W165,""))</f>
        <v/>
      </c>
      <c r="Y165" s="17" t="str">
        <f aca="false">IF(OR($C165="",$AA165="Open"),"",IF($W165&gt;0,$X165*365/MAX($Q165,1),""))</f>
        <v/>
      </c>
      <c r="Z165" s="18" t="str">
        <f aca="false">IF(OR($C165="",$AA165="Open"),"",IF($M165&lt;&gt;"",$M165,$G165))</f>
        <v/>
      </c>
      <c r="AA165" s="12" t="str">
        <f aca="false">IF($C165="","",IF(OR($L165="Open",$L165=""),"Open","Realized"))</f>
        <v/>
      </c>
    </row>
    <row r="166" customFormat="false" ht="15" hidden="false" customHeight="false" outlineLevel="0" collapsed="false">
      <c r="A166" s="7"/>
      <c r="B166" s="9"/>
      <c r="C166" s="9"/>
      <c r="D166" s="12" t="str">
        <f aca="false">IF($C166="","",IF(OR($C166="Long call",$C166="Covered call"),"Call","Put"))</f>
        <v/>
      </c>
      <c r="E166" s="12" t="str">
        <f aca="false">IF($C166="","",IF(OR($C166="Long call",$C166="Long put"),"Buy to open","Sell to open"))</f>
        <v/>
      </c>
      <c r="F166" s="13"/>
      <c r="G166" s="7"/>
      <c r="H166" s="14"/>
      <c r="I166" s="13"/>
      <c r="J166" s="13"/>
      <c r="K166" s="13"/>
      <c r="L166" s="9"/>
      <c r="M166" s="7"/>
      <c r="N166" s="13"/>
      <c r="O166" s="15" t="str">
        <f aca="false">IF($C166="","",IF($E166="Sell to open",1,-1)*$I166*$E$2*$H166)</f>
        <v/>
      </c>
      <c r="P166" s="15" t="str">
        <f aca="false">IF($C166="","",IF($C166="Long call",$F166+$I166,IF($C166="Covered call",$J166-$I166,$F166-$I166)))</f>
        <v/>
      </c>
      <c r="Q166" s="16" t="str">
        <f aca="false">IF($C166="","",IF($AA166="Open",$B$2,IF($M166&lt;&gt;"",$M166,$G166))-$A166)</f>
        <v/>
      </c>
      <c r="R166" s="16" t="str">
        <f aca="false">IF($C166="","",IF($AA166="Open",MAX($G166-$B$2,0),""))</f>
        <v/>
      </c>
      <c r="S166" s="15" t="str">
        <f aca="false">IF(OR($C166="",$AA166="Open"),"",IF($L166="Closed",-IF($E166="Sell to open",1,-1)*$N166*$E$2*$H166,0))</f>
        <v/>
      </c>
      <c r="T166" s="15" t="str">
        <f aca="false">IF(OR($C166="",$AA166="Open"),"",$O166+$S166-$K166)</f>
        <v/>
      </c>
      <c r="U166" s="15" t="str">
        <f aca="false">IF(OR($C166="",$AA166="Open"),"",IF(AND($C166="Covered call",$L166="Assigned"),($F166-$J166)*$E$2*$H166,0))</f>
        <v/>
      </c>
      <c r="V166" s="15" t="str">
        <f aca="false">IF(OR($C166="",$AA166="Open"),"",$T166+$U166)</f>
        <v/>
      </c>
      <c r="W166" s="15" t="str">
        <f aca="false">IF($C166="","",IF(OR($C166="Long call",$C166="Long put"),$I166*$E$2*$H166,(IF($C166="Covered call",$J166,$F166)-$I166)*$E$2*$H166))</f>
        <v/>
      </c>
      <c r="X166" s="17" t="str">
        <f aca="false">IF(OR($C166="",$AA166="Open"),"",IF($W166&gt;0,$V166/$W166,""))</f>
        <v/>
      </c>
      <c r="Y166" s="17" t="str">
        <f aca="false">IF(OR($C166="",$AA166="Open"),"",IF($W166&gt;0,$X166*365/MAX($Q166,1),""))</f>
        <v/>
      </c>
      <c r="Z166" s="18" t="str">
        <f aca="false">IF(OR($C166="",$AA166="Open"),"",IF($M166&lt;&gt;"",$M166,$G166))</f>
        <v/>
      </c>
      <c r="AA166" s="12" t="str">
        <f aca="false">IF($C166="","",IF(OR($L166="Open",$L166=""),"Open","Realized"))</f>
        <v/>
      </c>
    </row>
    <row r="167" customFormat="false" ht="15" hidden="false" customHeight="false" outlineLevel="0" collapsed="false">
      <c r="A167" s="7"/>
      <c r="B167" s="9"/>
      <c r="C167" s="9"/>
      <c r="D167" s="12" t="str">
        <f aca="false">IF($C167="","",IF(OR($C167="Long call",$C167="Covered call"),"Call","Put"))</f>
        <v/>
      </c>
      <c r="E167" s="12" t="str">
        <f aca="false">IF($C167="","",IF(OR($C167="Long call",$C167="Long put"),"Buy to open","Sell to open"))</f>
        <v/>
      </c>
      <c r="F167" s="13"/>
      <c r="G167" s="7"/>
      <c r="H167" s="14"/>
      <c r="I167" s="13"/>
      <c r="J167" s="13"/>
      <c r="K167" s="13"/>
      <c r="L167" s="9"/>
      <c r="M167" s="7"/>
      <c r="N167" s="13"/>
      <c r="O167" s="15" t="str">
        <f aca="false">IF($C167="","",IF($E167="Sell to open",1,-1)*$I167*$E$2*$H167)</f>
        <v/>
      </c>
      <c r="P167" s="15" t="str">
        <f aca="false">IF($C167="","",IF($C167="Long call",$F167+$I167,IF($C167="Covered call",$J167-$I167,$F167-$I167)))</f>
        <v/>
      </c>
      <c r="Q167" s="16" t="str">
        <f aca="false">IF($C167="","",IF($AA167="Open",$B$2,IF($M167&lt;&gt;"",$M167,$G167))-$A167)</f>
        <v/>
      </c>
      <c r="R167" s="16" t="str">
        <f aca="false">IF($C167="","",IF($AA167="Open",MAX($G167-$B$2,0),""))</f>
        <v/>
      </c>
      <c r="S167" s="15" t="str">
        <f aca="false">IF(OR($C167="",$AA167="Open"),"",IF($L167="Closed",-IF($E167="Sell to open",1,-1)*$N167*$E$2*$H167,0))</f>
        <v/>
      </c>
      <c r="T167" s="15" t="str">
        <f aca="false">IF(OR($C167="",$AA167="Open"),"",$O167+$S167-$K167)</f>
        <v/>
      </c>
      <c r="U167" s="15" t="str">
        <f aca="false">IF(OR($C167="",$AA167="Open"),"",IF(AND($C167="Covered call",$L167="Assigned"),($F167-$J167)*$E$2*$H167,0))</f>
        <v/>
      </c>
      <c r="V167" s="15" t="str">
        <f aca="false">IF(OR($C167="",$AA167="Open"),"",$T167+$U167)</f>
        <v/>
      </c>
      <c r="W167" s="15" t="str">
        <f aca="false">IF($C167="","",IF(OR($C167="Long call",$C167="Long put"),$I167*$E$2*$H167,(IF($C167="Covered call",$J167,$F167)-$I167)*$E$2*$H167))</f>
        <v/>
      </c>
      <c r="X167" s="17" t="str">
        <f aca="false">IF(OR($C167="",$AA167="Open"),"",IF($W167&gt;0,$V167/$W167,""))</f>
        <v/>
      </c>
      <c r="Y167" s="17" t="str">
        <f aca="false">IF(OR($C167="",$AA167="Open"),"",IF($W167&gt;0,$X167*365/MAX($Q167,1),""))</f>
        <v/>
      </c>
      <c r="Z167" s="18" t="str">
        <f aca="false">IF(OR($C167="",$AA167="Open"),"",IF($M167&lt;&gt;"",$M167,$G167))</f>
        <v/>
      </c>
      <c r="AA167" s="12" t="str">
        <f aca="false">IF($C167="","",IF(OR($L167="Open",$L167=""),"Open","Realized"))</f>
        <v/>
      </c>
    </row>
    <row r="168" customFormat="false" ht="15" hidden="false" customHeight="false" outlineLevel="0" collapsed="false">
      <c r="A168" s="7"/>
      <c r="B168" s="9"/>
      <c r="C168" s="9"/>
      <c r="D168" s="12" t="str">
        <f aca="false">IF($C168="","",IF(OR($C168="Long call",$C168="Covered call"),"Call","Put"))</f>
        <v/>
      </c>
      <c r="E168" s="12" t="str">
        <f aca="false">IF($C168="","",IF(OR($C168="Long call",$C168="Long put"),"Buy to open","Sell to open"))</f>
        <v/>
      </c>
      <c r="F168" s="13"/>
      <c r="G168" s="7"/>
      <c r="H168" s="14"/>
      <c r="I168" s="13"/>
      <c r="J168" s="13"/>
      <c r="K168" s="13"/>
      <c r="L168" s="9"/>
      <c r="M168" s="7"/>
      <c r="N168" s="13"/>
      <c r="O168" s="15" t="str">
        <f aca="false">IF($C168="","",IF($E168="Sell to open",1,-1)*$I168*$E$2*$H168)</f>
        <v/>
      </c>
      <c r="P168" s="15" t="str">
        <f aca="false">IF($C168="","",IF($C168="Long call",$F168+$I168,IF($C168="Covered call",$J168-$I168,$F168-$I168)))</f>
        <v/>
      </c>
      <c r="Q168" s="16" t="str">
        <f aca="false">IF($C168="","",IF($AA168="Open",$B$2,IF($M168&lt;&gt;"",$M168,$G168))-$A168)</f>
        <v/>
      </c>
      <c r="R168" s="16" t="str">
        <f aca="false">IF($C168="","",IF($AA168="Open",MAX($G168-$B$2,0),""))</f>
        <v/>
      </c>
      <c r="S168" s="15" t="str">
        <f aca="false">IF(OR($C168="",$AA168="Open"),"",IF($L168="Closed",-IF($E168="Sell to open",1,-1)*$N168*$E$2*$H168,0))</f>
        <v/>
      </c>
      <c r="T168" s="15" t="str">
        <f aca="false">IF(OR($C168="",$AA168="Open"),"",$O168+$S168-$K168)</f>
        <v/>
      </c>
      <c r="U168" s="15" t="str">
        <f aca="false">IF(OR($C168="",$AA168="Open"),"",IF(AND($C168="Covered call",$L168="Assigned"),($F168-$J168)*$E$2*$H168,0))</f>
        <v/>
      </c>
      <c r="V168" s="15" t="str">
        <f aca="false">IF(OR($C168="",$AA168="Open"),"",$T168+$U168)</f>
        <v/>
      </c>
      <c r="W168" s="15" t="str">
        <f aca="false">IF($C168="","",IF(OR($C168="Long call",$C168="Long put"),$I168*$E$2*$H168,(IF($C168="Covered call",$J168,$F168)-$I168)*$E$2*$H168))</f>
        <v/>
      </c>
      <c r="X168" s="17" t="str">
        <f aca="false">IF(OR($C168="",$AA168="Open"),"",IF($W168&gt;0,$V168/$W168,""))</f>
        <v/>
      </c>
      <c r="Y168" s="17" t="str">
        <f aca="false">IF(OR($C168="",$AA168="Open"),"",IF($W168&gt;0,$X168*365/MAX($Q168,1),""))</f>
        <v/>
      </c>
      <c r="Z168" s="18" t="str">
        <f aca="false">IF(OR($C168="",$AA168="Open"),"",IF($M168&lt;&gt;"",$M168,$G168))</f>
        <v/>
      </c>
      <c r="AA168" s="12" t="str">
        <f aca="false">IF($C168="","",IF(OR($L168="Open",$L168=""),"Open","Realized"))</f>
        <v/>
      </c>
    </row>
    <row r="169" customFormat="false" ht="15" hidden="false" customHeight="false" outlineLevel="0" collapsed="false">
      <c r="A169" s="7"/>
      <c r="B169" s="9"/>
      <c r="C169" s="9"/>
      <c r="D169" s="12" t="str">
        <f aca="false">IF($C169="","",IF(OR($C169="Long call",$C169="Covered call"),"Call","Put"))</f>
        <v/>
      </c>
      <c r="E169" s="12" t="str">
        <f aca="false">IF($C169="","",IF(OR($C169="Long call",$C169="Long put"),"Buy to open","Sell to open"))</f>
        <v/>
      </c>
      <c r="F169" s="13"/>
      <c r="G169" s="7"/>
      <c r="H169" s="14"/>
      <c r="I169" s="13"/>
      <c r="J169" s="13"/>
      <c r="K169" s="13"/>
      <c r="L169" s="9"/>
      <c r="M169" s="7"/>
      <c r="N169" s="13"/>
      <c r="O169" s="15" t="str">
        <f aca="false">IF($C169="","",IF($E169="Sell to open",1,-1)*$I169*$E$2*$H169)</f>
        <v/>
      </c>
      <c r="P169" s="15" t="str">
        <f aca="false">IF($C169="","",IF($C169="Long call",$F169+$I169,IF($C169="Covered call",$J169-$I169,$F169-$I169)))</f>
        <v/>
      </c>
      <c r="Q169" s="16" t="str">
        <f aca="false">IF($C169="","",IF($AA169="Open",$B$2,IF($M169&lt;&gt;"",$M169,$G169))-$A169)</f>
        <v/>
      </c>
      <c r="R169" s="16" t="str">
        <f aca="false">IF($C169="","",IF($AA169="Open",MAX($G169-$B$2,0),""))</f>
        <v/>
      </c>
      <c r="S169" s="15" t="str">
        <f aca="false">IF(OR($C169="",$AA169="Open"),"",IF($L169="Closed",-IF($E169="Sell to open",1,-1)*$N169*$E$2*$H169,0))</f>
        <v/>
      </c>
      <c r="T169" s="15" t="str">
        <f aca="false">IF(OR($C169="",$AA169="Open"),"",$O169+$S169-$K169)</f>
        <v/>
      </c>
      <c r="U169" s="15" t="str">
        <f aca="false">IF(OR($C169="",$AA169="Open"),"",IF(AND($C169="Covered call",$L169="Assigned"),($F169-$J169)*$E$2*$H169,0))</f>
        <v/>
      </c>
      <c r="V169" s="15" t="str">
        <f aca="false">IF(OR($C169="",$AA169="Open"),"",$T169+$U169)</f>
        <v/>
      </c>
      <c r="W169" s="15" t="str">
        <f aca="false">IF($C169="","",IF(OR($C169="Long call",$C169="Long put"),$I169*$E$2*$H169,(IF($C169="Covered call",$J169,$F169)-$I169)*$E$2*$H169))</f>
        <v/>
      </c>
      <c r="X169" s="17" t="str">
        <f aca="false">IF(OR($C169="",$AA169="Open"),"",IF($W169&gt;0,$V169/$W169,""))</f>
        <v/>
      </c>
      <c r="Y169" s="17" t="str">
        <f aca="false">IF(OR($C169="",$AA169="Open"),"",IF($W169&gt;0,$X169*365/MAX($Q169,1),""))</f>
        <v/>
      </c>
      <c r="Z169" s="18" t="str">
        <f aca="false">IF(OR($C169="",$AA169="Open"),"",IF($M169&lt;&gt;"",$M169,$G169))</f>
        <v/>
      </c>
      <c r="AA169" s="12" t="str">
        <f aca="false">IF($C169="","",IF(OR($L169="Open",$L169=""),"Open","Realized"))</f>
        <v/>
      </c>
    </row>
    <row r="170" customFormat="false" ht="15" hidden="false" customHeight="false" outlineLevel="0" collapsed="false">
      <c r="A170" s="7"/>
      <c r="B170" s="9"/>
      <c r="C170" s="9"/>
      <c r="D170" s="12" t="str">
        <f aca="false">IF($C170="","",IF(OR($C170="Long call",$C170="Covered call"),"Call","Put"))</f>
        <v/>
      </c>
      <c r="E170" s="12" t="str">
        <f aca="false">IF($C170="","",IF(OR($C170="Long call",$C170="Long put"),"Buy to open","Sell to open"))</f>
        <v/>
      </c>
      <c r="F170" s="13"/>
      <c r="G170" s="7"/>
      <c r="H170" s="14"/>
      <c r="I170" s="13"/>
      <c r="J170" s="13"/>
      <c r="K170" s="13"/>
      <c r="L170" s="9"/>
      <c r="M170" s="7"/>
      <c r="N170" s="13"/>
      <c r="O170" s="15" t="str">
        <f aca="false">IF($C170="","",IF($E170="Sell to open",1,-1)*$I170*$E$2*$H170)</f>
        <v/>
      </c>
      <c r="P170" s="15" t="str">
        <f aca="false">IF($C170="","",IF($C170="Long call",$F170+$I170,IF($C170="Covered call",$J170-$I170,$F170-$I170)))</f>
        <v/>
      </c>
      <c r="Q170" s="16" t="str">
        <f aca="false">IF($C170="","",IF($AA170="Open",$B$2,IF($M170&lt;&gt;"",$M170,$G170))-$A170)</f>
        <v/>
      </c>
      <c r="R170" s="16" t="str">
        <f aca="false">IF($C170="","",IF($AA170="Open",MAX($G170-$B$2,0),""))</f>
        <v/>
      </c>
      <c r="S170" s="15" t="str">
        <f aca="false">IF(OR($C170="",$AA170="Open"),"",IF($L170="Closed",-IF($E170="Sell to open",1,-1)*$N170*$E$2*$H170,0))</f>
        <v/>
      </c>
      <c r="T170" s="15" t="str">
        <f aca="false">IF(OR($C170="",$AA170="Open"),"",$O170+$S170-$K170)</f>
        <v/>
      </c>
      <c r="U170" s="15" t="str">
        <f aca="false">IF(OR($C170="",$AA170="Open"),"",IF(AND($C170="Covered call",$L170="Assigned"),($F170-$J170)*$E$2*$H170,0))</f>
        <v/>
      </c>
      <c r="V170" s="15" t="str">
        <f aca="false">IF(OR($C170="",$AA170="Open"),"",$T170+$U170)</f>
        <v/>
      </c>
      <c r="W170" s="15" t="str">
        <f aca="false">IF($C170="","",IF(OR($C170="Long call",$C170="Long put"),$I170*$E$2*$H170,(IF($C170="Covered call",$J170,$F170)-$I170)*$E$2*$H170))</f>
        <v/>
      </c>
      <c r="X170" s="17" t="str">
        <f aca="false">IF(OR($C170="",$AA170="Open"),"",IF($W170&gt;0,$V170/$W170,""))</f>
        <v/>
      </c>
      <c r="Y170" s="17" t="str">
        <f aca="false">IF(OR($C170="",$AA170="Open"),"",IF($W170&gt;0,$X170*365/MAX($Q170,1),""))</f>
        <v/>
      </c>
      <c r="Z170" s="18" t="str">
        <f aca="false">IF(OR($C170="",$AA170="Open"),"",IF($M170&lt;&gt;"",$M170,$G170))</f>
        <v/>
      </c>
      <c r="AA170" s="12" t="str">
        <f aca="false">IF($C170="","",IF(OR($L170="Open",$L170=""),"Open","Realized"))</f>
        <v/>
      </c>
    </row>
    <row r="171" customFormat="false" ht="15" hidden="false" customHeight="false" outlineLevel="0" collapsed="false">
      <c r="A171" s="7"/>
      <c r="B171" s="9"/>
      <c r="C171" s="9"/>
      <c r="D171" s="12" t="str">
        <f aca="false">IF($C171="","",IF(OR($C171="Long call",$C171="Covered call"),"Call","Put"))</f>
        <v/>
      </c>
      <c r="E171" s="12" t="str">
        <f aca="false">IF($C171="","",IF(OR($C171="Long call",$C171="Long put"),"Buy to open","Sell to open"))</f>
        <v/>
      </c>
      <c r="F171" s="13"/>
      <c r="G171" s="7"/>
      <c r="H171" s="14"/>
      <c r="I171" s="13"/>
      <c r="J171" s="13"/>
      <c r="K171" s="13"/>
      <c r="L171" s="9"/>
      <c r="M171" s="7"/>
      <c r="N171" s="13"/>
      <c r="O171" s="15" t="str">
        <f aca="false">IF($C171="","",IF($E171="Sell to open",1,-1)*$I171*$E$2*$H171)</f>
        <v/>
      </c>
      <c r="P171" s="15" t="str">
        <f aca="false">IF($C171="","",IF($C171="Long call",$F171+$I171,IF($C171="Covered call",$J171-$I171,$F171-$I171)))</f>
        <v/>
      </c>
      <c r="Q171" s="16" t="str">
        <f aca="false">IF($C171="","",IF($AA171="Open",$B$2,IF($M171&lt;&gt;"",$M171,$G171))-$A171)</f>
        <v/>
      </c>
      <c r="R171" s="16" t="str">
        <f aca="false">IF($C171="","",IF($AA171="Open",MAX($G171-$B$2,0),""))</f>
        <v/>
      </c>
      <c r="S171" s="15" t="str">
        <f aca="false">IF(OR($C171="",$AA171="Open"),"",IF($L171="Closed",-IF($E171="Sell to open",1,-1)*$N171*$E$2*$H171,0))</f>
        <v/>
      </c>
      <c r="T171" s="15" t="str">
        <f aca="false">IF(OR($C171="",$AA171="Open"),"",$O171+$S171-$K171)</f>
        <v/>
      </c>
      <c r="U171" s="15" t="str">
        <f aca="false">IF(OR($C171="",$AA171="Open"),"",IF(AND($C171="Covered call",$L171="Assigned"),($F171-$J171)*$E$2*$H171,0))</f>
        <v/>
      </c>
      <c r="V171" s="15" t="str">
        <f aca="false">IF(OR($C171="",$AA171="Open"),"",$T171+$U171)</f>
        <v/>
      </c>
      <c r="W171" s="15" t="str">
        <f aca="false">IF($C171="","",IF(OR($C171="Long call",$C171="Long put"),$I171*$E$2*$H171,(IF($C171="Covered call",$J171,$F171)-$I171)*$E$2*$H171))</f>
        <v/>
      </c>
      <c r="X171" s="17" t="str">
        <f aca="false">IF(OR($C171="",$AA171="Open"),"",IF($W171&gt;0,$V171/$W171,""))</f>
        <v/>
      </c>
      <c r="Y171" s="17" t="str">
        <f aca="false">IF(OR($C171="",$AA171="Open"),"",IF($W171&gt;0,$X171*365/MAX($Q171,1),""))</f>
        <v/>
      </c>
      <c r="Z171" s="18" t="str">
        <f aca="false">IF(OR($C171="",$AA171="Open"),"",IF($M171&lt;&gt;"",$M171,$G171))</f>
        <v/>
      </c>
      <c r="AA171" s="12" t="str">
        <f aca="false">IF($C171="","",IF(OR($L171="Open",$L171=""),"Open","Realized"))</f>
        <v/>
      </c>
    </row>
    <row r="172" customFormat="false" ht="15" hidden="false" customHeight="false" outlineLevel="0" collapsed="false">
      <c r="A172" s="7"/>
      <c r="B172" s="9"/>
      <c r="C172" s="9"/>
      <c r="D172" s="12" t="str">
        <f aca="false">IF($C172="","",IF(OR($C172="Long call",$C172="Covered call"),"Call","Put"))</f>
        <v/>
      </c>
      <c r="E172" s="12" t="str">
        <f aca="false">IF($C172="","",IF(OR($C172="Long call",$C172="Long put"),"Buy to open","Sell to open"))</f>
        <v/>
      </c>
      <c r="F172" s="13"/>
      <c r="G172" s="7"/>
      <c r="H172" s="14"/>
      <c r="I172" s="13"/>
      <c r="J172" s="13"/>
      <c r="K172" s="13"/>
      <c r="L172" s="9"/>
      <c r="M172" s="7"/>
      <c r="N172" s="13"/>
      <c r="O172" s="15" t="str">
        <f aca="false">IF($C172="","",IF($E172="Sell to open",1,-1)*$I172*$E$2*$H172)</f>
        <v/>
      </c>
      <c r="P172" s="15" t="str">
        <f aca="false">IF($C172="","",IF($C172="Long call",$F172+$I172,IF($C172="Covered call",$J172-$I172,$F172-$I172)))</f>
        <v/>
      </c>
      <c r="Q172" s="16" t="str">
        <f aca="false">IF($C172="","",IF($AA172="Open",$B$2,IF($M172&lt;&gt;"",$M172,$G172))-$A172)</f>
        <v/>
      </c>
      <c r="R172" s="16" t="str">
        <f aca="false">IF($C172="","",IF($AA172="Open",MAX($G172-$B$2,0),""))</f>
        <v/>
      </c>
      <c r="S172" s="15" t="str">
        <f aca="false">IF(OR($C172="",$AA172="Open"),"",IF($L172="Closed",-IF($E172="Sell to open",1,-1)*$N172*$E$2*$H172,0))</f>
        <v/>
      </c>
      <c r="T172" s="15" t="str">
        <f aca="false">IF(OR($C172="",$AA172="Open"),"",$O172+$S172-$K172)</f>
        <v/>
      </c>
      <c r="U172" s="15" t="str">
        <f aca="false">IF(OR($C172="",$AA172="Open"),"",IF(AND($C172="Covered call",$L172="Assigned"),($F172-$J172)*$E$2*$H172,0))</f>
        <v/>
      </c>
      <c r="V172" s="15" t="str">
        <f aca="false">IF(OR($C172="",$AA172="Open"),"",$T172+$U172)</f>
        <v/>
      </c>
      <c r="W172" s="15" t="str">
        <f aca="false">IF($C172="","",IF(OR($C172="Long call",$C172="Long put"),$I172*$E$2*$H172,(IF($C172="Covered call",$J172,$F172)-$I172)*$E$2*$H172))</f>
        <v/>
      </c>
      <c r="X172" s="17" t="str">
        <f aca="false">IF(OR($C172="",$AA172="Open"),"",IF($W172&gt;0,$V172/$W172,""))</f>
        <v/>
      </c>
      <c r="Y172" s="17" t="str">
        <f aca="false">IF(OR($C172="",$AA172="Open"),"",IF($W172&gt;0,$X172*365/MAX($Q172,1),""))</f>
        <v/>
      </c>
      <c r="Z172" s="18" t="str">
        <f aca="false">IF(OR($C172="",$AA172="Open"),"",IF($M172&lt;&gt;"",$M172,$G172))</f>
        <v/>
      </c>
      <c r="AA172" s="12" t="str">
        <f aca="false">IF($C172="","",IF(OR($L172="Open",$L172=""),"Open","Realized"))</f>
        <v/>
      </c>
    </row>
    <row r="173" customFormat="false" ht="15" hidden="false" customHeight="false" outlineLevel="0" collapsed="false">
      <c r="A173" s="7"/>
      <c r="B173" s="9"/>
      <c r="C173" s="9"/>
      <c r="D173" s="12" t="str">
        <f aca="false">IF($C173="","",IF(OR($C173="Long call",$C173="Covered call"),"Call","Put"))</f>
        <v/>
      </c>
      <c r="E173" s="12" t="str">
        <f aca="false">IF($C173="","",IF(OR($C173="Long call",$C173="Long put"),"Buy to open","Sell to open"))</f>
        <v/>
      </c>
      <c r="F173" s="13"/>
      <c r="G173" s="7"/>
      <c r="H173" s="14"/>
      <c r="I173" s="13"/>
      <c r="J173" s="13"/>
      <c r="K173" s="13"/>
      <c r="L173" s="9"/>
      <c r="M173" s="7"/>
      <c r="N173" s="13"/>
      <c r="O173" s="15" t="str">
        <f aca="false">IF($C173="","",IF($E173="Sell to open",1,-1)*$I173*$E$2*$H173)</f>
        <v/>
      </c>
      <c r="P173" s="15" t="str">
        <f aca="false">IF($C173="","",IF($C173="Long call",$F173+$I173,IF($C173="Covered call",$J173-$I173,$F173-$I173)))</f>
        <v/>
      </c>
      <c r="Q173" s="16" t="str">
        <f aca="false">IF($C173="","",IF($AA173="Open",$B$2,IF($M173&lt;&gt;"",$M173,$G173))-$A173)</f>
        <v/>
      </c>
      <c r="R173" s="16" t="str">
        <f aca="false">IF($C173="","",IF($AA173="Open",MAX($G173-$B$2,0),""))</f>
        <v/>
      </c>
      <c r="S173" s="15" t="str">
        <f aca="false">IF(OR($C173="",$AA173="Open"),"",IF($L173="Closed",-IF($E173="Sell to open",1,-1)*$N173*$E$2*$H173,0))</f>
        <v/>
      </c>
      <c r="T173" s="15" t="str">
        <f aca="false">IF(OR($C173="",$AA173="Open"),"",$O173+$S173-$K173)</f>
        <v/>
      </c>
      <c r="U173" s="15" t="str">
        <f aca="false">IF(OR($C173="",$AA173="Open"),"",IF(AND($C173="Covered call",$L173="Assigned"),($F173-$J173)*$E$2*$H173,0))</f>
        <v/>
      </c>
      <c r="V173" s="15" t="str">
        <f aca="false">IF(OR($C173="",$AA173="Open"),"",$T173+$U173)</f>
        <v/>
      </c>
      <c r="W173" s="15" t="str">
        <f aca="false">IF($C173="","",IF(OR($C173="Long call",$C173="Long put"),$I173*$E$2*$H173,(IF($C173="Covered call",$J173,$F173)-$I173)*$E$2*$H173))</f>
        <v/>
      </c>
      <c r="X173" s="17" t="str">
        <f aca="false">IF(OR($C173="",$AA173="Open"),"",IF($W173&gt;0,$V173/$W173,""))</f>
        <v/>
      </c>
      <c r="Y173" s="17" t="str">
        <f aca="false">IF(OR($C173="",$AA173="Open"),"",IF($W173&gt;0,$X173*365/MAX($Q173,1),""))</f>
        <v/>
      </c>
      <c r="Z173" s="18" t="str">
        <f aca="false">IF(OR($C173="",$AA173="Open"),"",IF($M173&lt;&gt;"",$M173,$G173))</f>
        <v/>
      </c>
      <c r="AA173" s="12" t="str">
        <f aca="false">IF($C173="","",IF(OR($L173="Open",$L173=""),"Open","Realized"))</f>
        <v/>
      </c>
    </row>
    <row r="174" customFormat="false" ht="15" hidden="false" customHeight="false" outlineLevel="0" collapsed="false">
      <c r="A174" s="7"/>
      <c r="B174" s="9"/>
      <c r="C174" s="9"/>
      <c r="D174" s="12" t="str">
        <f aca="false">IF($C174="","",IF(OR($C174="Long call",$C174="Covered call"),"Call","Put"))</f>
        <v/>
      </c>
      <c r="E174" s="12" t="str">
        <f aca="false">IF($C174="","",IF(OR($C174="Long call",$C174="Long put"),"Buy to open","Sell to open"))</f>
        <v/>
      </c>
      <c r="F174" s="13"/>
      <c r="G174" s="7"/>
      <c r="H174" s="14"/>
      <c r="I174" s="13"/>
      <c r="J174" s="13"/>
      <c r="K174" s="13"/>
      <c r="L174" s="9"/>
      <c r="M174" s="7"/>
      <c r="N174" s="13"/>
      <c r="O174" s="15" t="str">
        <f aca="false">IF($C174="","",IF($E174="Sell to open",1,-1)*$I174*$E$2*$H174)</f>
        <v/>
      </c>
      <c r="P174" s="15" t="str">
        <f aca="false">IF($C174="","",IF($C174="Long call",$F174+$I174,IF($C174="Covered call",$J174-$I174,$F174-$I174)))</f>
        <v/>
      </c>
      <c r="Q174" s="16" t="str">
        <f aca="false">IF($C174="","",IF($AA174="Open",$B$2,IF($M174&lt;&gt;"",$M174,$G174))-$A174)</f>
        <v/>
      </c>
      <c r="R174" s="16" t="str">
        <f aca="false">IF($C174="","",IF($AA174="Open",MAX($G174-$B$2,0),""))</f>
        <v/>
      </c>
      <c r="S174" s="15" t="str">
        <f aca="false">IF(OR($C174="",$AA174="Open"),"",IF($L174="Closed",-IF($E174="Sell to open",1,-1)*$N174*$E$2*$H174,0))</f>
        <v/>
      </c>
      <c r="T174" s="15" t="str">
        <f aca="false">IF(OR($C174="",$AA174="Open"),"",$O174+$S174-$K174)</f>
        <v/>
      </c>
      <c r="U174" s="15" t="str">
        <f aca="false">IF(OR($C174="",$AA174="Open"),"",IF(AND($C174="Covered call",$L174="Assigned"),($F174-$J174)*$E$2*$H174,0))</f>
        <v/>
      </c>
      <c r="V174" s="15" t="str">
        <f aca="false">IF(OR($C174="",$AA174="Open"),"",$T174+$U174)</f>
        <v/>
      </c>
      <c r="W174" s="15" t="str">
        <f aca="false">IF($C174="","",IF(OR($C174="Long call",$C174="Long put"),$I174*$E$2*$H174,(IF($C174="Covered call",$J174,$F174)-$I174)*$E$2*$H174))</f>
        <v/>
      </c>
      <c r="X174" s="17" t="str">
        <f aca="false">IF(OR($C174="",$AA174="Open"),"",IF($W174&gt;0,$V174/$W174,""))</f>
        <v/>
      </c>
      <c r="Y174" s="17" t="str">
        <f aca="false">IF(OR($C174="",$AA174="Open"),"",IF($W174&gt;0,$X174*365/MAX($Q174,1),""))</f>
        <v/>
      </c>
      <c r="Z174" s="18" t="str">
        <f aca="false">IF(OR($C174="",$AA174="Open"),"",IF($M174&lt;&gt;"",$M174,$G174))</f>
        <v/>
      </c>
      <c r="AA174" s="12" t="str">
        <f aca="false">IF($C174="","",IF(OR($L174="Open",$L174=""),"Open","Realized"))</f>
        <v/>
      </c>
    </row>
    <row r="175" customFormat="false" ht="15" hidden="false" customHeight="false" outlineLevel="0" collapsed="false">
      <c r="A175" s="7"/>
      <c r="B175" s="9"/>
      <c r="C175" s="9"/>
      <c r="D175" s="12" t="str">
        <f aca="false">IF($C175="","",IF(OR($C175="Long call",$C175="Covered call"),"Call","Put"))</f>
        <v/>
      </c>
      <c r="E175" s="12" t="str">
        <f aca="false">IF($C175="","",IF(OR($C175="Long call",$C175="Long put"),"Buy to open","Sell to open"))</f>
        <v/>
      </c>
      <c r="F175" s="13"/>
      <c r="G175" s="7"/>
      <c r="H175" s="14"/>
      <c r="I175" s="13"/>
      <c r="J175" s="13"/>
      <c r="K175" s="13"/>
      <c r="L175" s="9"/>
      <c r="M175" s="7"/>
      <c r="N175" s="13"/>
      <c r="O175" s="15" t="str">
        <f aca="false">IF($C175="","",IF($E175="Sell to open",1,-1)*$I175*$E$2*$H175)</f>
        <v/>
      </c>
      <c r="P175" s="15" t="str">
        <f aca="false">IF($C175="","",IF($C175="Long call",$F175+$I175,IF($C175="Covered call",$J175-$I175,$F175-$I175)))</f>
        <v/>
      </c>
      <c r="Q175" s="16" t="str">
        <f aca="false">IF($C175="","",IF($AA175="Open",$B$2,IF($M175&lt;&gt;"",$M175,$G175))-$A175)</f>
        <v/>
      </c>
      <c r="R175" s="16" t="str">
        <f aca="false">IF($C175="","",IF($AA175="Open",MAX($G175-$B$2,0),""))</f>
        <v/>
      </c>
      <c r="S175" s="15" t="str">
        <f aca="false">IF(OR($C175="",$AA175="Open"),"",IF($L175="Closed",-IF($E175="Sell to open",1,-1)*$N175*$E$2*$H175,0))</f>
        <v/>
      </c>
      <c r="T175" s="15" t="str">
        <f aca="false">IF(OR($C175="",$AA175="Open"),"",$O175+$S175-$K175)</f>
        <v/>
      </c>
      <c r="U175" s="15" t="str">
        <f aca="false">IF(OR($C175="",$AA175="Open"),"",IF(AND($C175="Covered call",$L175="Assigned"),($F175-$J175)*$E$2*$H175,0))</f>
        <v/>
      </c>
      <c r="V175" s="15" t="str">
        <f aca="false">IF(OR($C175="",$AA175="Open"),"",$T175+$U175)</f>
        <v/>
      </c>
      <c r="W175" s="15" t="str">
        <f aca="false">IF($C175="","",IF(OR($C175="Long call",$C175="Long put"),$I175*$E$2*$H175,(IF($C175="Covered call",$J175,$F175)-$I175)*$E$2*$H175))</f>
        <v/>
      </c>
      <c r="X175" s="17" t="str">
        <f aca="false">IF(OR($C175="",$AA175="Open"),"",IF($W175&gt;0,$V175/$W175,""))</f>
        <v/>
      </c>
      <c r="Y175" s="17" t="str">
        <f aca="false">IF(OR($C175="",$AA175="Open"),"",IF($W175&gt;0,$X175*365/MAX($Q175,1),""))</f>
        <v/>
      </c>
      <c r="Z175" s="18" t="str">
        <f aca="false">IF(OR($C175="",$AA175="Open"),"",IF($M175&lt;&gt;"",$M175,$G175))</f>
        <v/>
      </c>
      <c r="AA175" s="12" t="str">
        <f aca="false">IF($C175="","",IF(OR($L175="Open",$L175=""),"Open","Realized"))</f>
        <v/>
      </c>
    </row>
    <row r="176" customFormat="false" ht="15" hidden="false" customHeight="false" outlineLevel="0" collapsed="false">
      <c r="A176" s="7"/>
      <c r="B176" s="9"/>
      <c r="C176" s="9"/>
      <c r="D176" s="12" t="str">
        <f aca="false">IF($C176="","",IF(OR($C176="Long call",$C176="Covered call"),"Call","Put"))</f>
        <v/>
      </c>
      <c r="E176" s="12" t="str">
        <f aca="false">IF($C176="","",IF(OR($C176="Long call",$C176="Long put"),"Buy to open","Sell to open"))</f>
        <v/>
      </c>
      <c r="F176" s="13"/>
      <c r="G176" s="7"/>
      <c r="H176" s="14"/>
      <c r="I176" s="13"/>
      <c r="J176" s="13"/>
      <c r="K176" s="13"/>
      <c r="L176" s="9"/>
      <c r="M176" s="7"/>
      <c r="N176" s="13"/>
      <c r="O176" s="15" t="str">
        <f aca="false">IF($C176="","",IF($E176="Sell to open",1,-1)*$I176*$E$2*$H176)</f>
        <v/>
      </c>
      <c r="P176" s="15" t="str">
        <f aca="false">IF($C176="","",IF($C176="Long call",$F176+$I176,IF($C176="Covered call",$J176-$I176,$F176-$I176)))</f>
        <v/>
      </c>
      <c r="Q176" s="16" t="str">
        <f aca="false">IF($C176="","",IF($AA176="Open",$B$2,IF($M176&lt;&gt;"",$M176,$G176))-$A176)</f>
        <v/>
      </c>
      <c r="R176" s="16" t="str">
        <f aca="false">IF($C176="","",IF($AA176="Open",MAX($G176-$B$2,0),""))</f>
        <v/>
      </c>
      <c r="S176" s="15" t="str">
        <f aca="false">IF(OR($C176="",$AA176="Open"),"",IF($L176="Closed",-IF($E176="Sell to open",1,-1)*$N176*$E$2*$H176,0))</f>
        <v/>
      </c>
      <c r="T176" s="15" t="str">
        <f aca="false">IF(OR($C176="",$AA176="Open"),"",$O176+$S176-$K176)</f>
        <v/>
      </c>
      <c r="U176" s="15" t="str">
        <f aca="false">IF(OR($C176="",$AA176="Open"),"",IF(AND($C176="Covered call",$L176="Assigned"),($F176-$J176)*$E$2*$H176,0))</f>
        <v/>
      </c>
      <c r="V176" s="15" t="str">
        <f aca="false">IF(OR($C176="",$AA176="Open"),"",$T176+$U176)</f>
        <v/>
      </c>
      <c r="W176" s="15" t="str">
        <f aca="false">IF($C176="","",IF(OR($C176="Long call",$C176="Long put"),$I176*$E$2*$H176,(IF($C176="Covered call",$J176,$F176)-$I176)*$E$2*$H176))</f>
        <v/>
      </c>
      <c r="X176" s="17" t="str">
        <f aca="false">IF(OR($C176="",$AA176="Open"),"",IF($W176&gt;0,$V176/$W176,""))</f>
        <v/>
      </c>
      <c r="Y176" s="17" t="str">
        <f aca="false">IF(OR($C176="",$AA176="Open"),"",IF($W176&gt;0,$X176*365/MAX($Q176,1),""))</f>
        <v/>
      </c>
      <c r="Z176" s="18" t="str">
        <f aca="false">IF(OR($C176="",$AA176="Open"),"",IF($M176&lt;&gt;"",$M176,$G176))</f>
        <v/>
      </c>
      <c r="AA176" s="12" t="str">
        <f aca="false">IF($C176="","",IF(OR($L176="Open",$L176=""),"Open","Realized"))</f>
        <v/>
      </c>
    </row>
    <row r="177" customFormat="false" ht="15" hidden="false" customHeight="false" outlineLevel="0" collapsed="false">
      <c r="A177" s="7"/>
      <c r="B177" s="9"/>
      <c r="C177" s="9"/>
      <c r="D177" s="12" t="str">
        <f aca="false">IF($C177="","",IF(OR($C177="Long call",$C177="Covered call"),"Call","Put"))</f>
        <v/>
      </c>
      <c r="E177" s="12" t="str">
        <f aca="false">IF($C177="","",IF(OR($C177="Long call",$C177="Long put"),"Buy to open","Sell to open"))</f>
        <v/>
      </c>
      <c r="F177" s="13"/>
      <c r="G177" s="7"/>
      <c r="H177" s="14"/>
      <c r="I177" s="13"/>
      <c r="J177" s="13"/>
      <c r="K177" s="13"/>
      <c r="L177" s="9"/>
      <c r="M177" s="7"/>
      <c r="N177" s="13"/>
      <c r="O177" s="15" t="str">
        <f aca="false">IF($C177="","",IF($E177="Sell to open",1,-1)*$I177*$E$2*$H177)</f>
        <v/>
      </c>
      <c r="P177" s="15" t="str">
        <f aca="false">IF($C177="","",IF($C177="Long call",$F177+$I177,IF($C177="Covered call",$J177-$I177,$F177-$I177)))</f>
        <v/>
      </c>
      <c r="Q177" s="16" t="str">
        <f aca="false">IF($C177="","",IF($AA177="Open",$B$2,IF($M177&lt;&gt;"",$M177,$G177))-$A177)</f>
        <v/>
      </c>
      <c r="R177" s="16" t="str">
        <f aca="false">IF($C177="","",IF($AA177="Open",MAX($G177-$B$2,0),""))</f>
        <v/>
      </c>
      <c r="S177" s="15" t="str">
        <f aca="false">IF(OR($C177="",$AA177="Open"),"",IF($L177="Closed",-IF($E177="Sell to open",1,-1)*$N177*$E$2*$H177,0))</f>
        <v/>
      </c>
      <c r="T177" s="15" t="str">
        <f aca="false">IF(OR($C177="",$AA177="Open"),"",$O177+$S177-$K177)</f>
        <v/>
      </c>
      <c r="U177" s="15" t="str">
        <f aca="false">IF(OR($C177="",$AA177="Open"),"",IF(AND($C177="Covered call",$L177="Assigned"),($F177-$J177)*$E$2*$H177,0))</f>
        <v/>
      </c>
      <c r="V177" s="15" t="str">
        <f aca="false">IF(OR($C177="",$AA177="Open"),"",$T177+$U177)</f>
        <v/>
      </c>
      <c r="W177" s="15" t="str">
        <f aca="false">IF($C177="","",IF(OR($C177="Long call",$C177="Long put"),$I177*$E$2*$H177,(IF($C177="Covered call",$J177,$F177)-$I177)*$E$2*$H177))</f>
        <v/>
      </c>
      <c r="X177" s="17" t="str">
        <f aca="false">IF(OR($C177="",$AA177="Open"),"",IF($W177&gt;0,$V177/$W177,""))</f>
        <v/>
      </c>
      <c r="Y177" s="17" t="str">
        <f aca="false">IF(OR($C177="",$AA177="Open"),"",IF($W177&gt;0,$X177*365/MAX($Q177,1),""))</f>
        <v/>
      </c>
      <c r="Z177" s="18" t="str">
        <f aca="false">IF(OR($C177="",$AA177="Open"),"",IF($M177&lt;&gt;"",$M177,$G177))</f>
        <v/>
      </c>
      <c r="AA177" s="12" t="str">
        <f aca="false">IF($C177="","",IF(OR($L177="Open",$L177=""),"Open","Realized"))</f>
        <v/>
      </c>
    </row>
    <row r="178" customFormat="false" ht="15" hidden="false" customHeight="false" outlineLevel="0" collapsed="false">
      <c r="A178" s="7"/>
      <c r="B178" s="9"/>
      <c r="C178" s="9"/>
      <c r="D178" s="12" t="str">
        <f aca="false">IF($C178="","",IF(OR($C178="Long call",$C178="Covered call"),"Call","Put"))</f>
        <v/>
      </c>
      <c r="E178" s="12" t="str">
        <f aca="false">IF($C178="","",IF(OR($C178="Long call",$C178="Long put"),"Buy to open","Sell to open"))</f>
        <v/>
      </c>
      <c r="F178" s="13"/>
      <c r="G178" s="7"/>
      <c r="H178" s="14"/>
      <c r="I178" s="13"/>
      <c r="J178" s="13"/>
      <c r="K178" s="13"/>
      <c r="L178" s="9"/>
      <c r="M178" s="7"/>
      <c r="N178" s="13"/>
      <c r="O178" s="15" t="str">
        <f aca="false">IF($C178="","",IF($E178="Sell to open",1,-1)*$I178*$E$2*$H178)</f>
        <v/>
      </c>
      <c r="P178" s="15" t="str">
        <f aca="false">IF($C178="","",IF($C178="Long call",$F178+$I178,IF($C178="Covered call",$J178-$I178,$F178-$I178)))</f>
        <v/>
      </c>
      <c r="Q178" s="16" t="str">
        <f aca="false">IF($C178="","",IF($AA178="Open",$B$2,IF($M178&lt;&gt;"",$M178,$G178))-$A178)</f>
        <v/>
      </c>
      <c r="R178" s="16" t="str">
        <f aca="false">IF($C178="","",IF($AA178="Open",MAX($G178-$B$2,0),""))</f>
        <v/>
      </c>
      <c r="S178" s="15" t="str">
        <f aca="false">IF(OR($C178="",$AA178="Open"),"",IF($L178="Closed",-IF($E178="Sell to open",1,-1)*$N178*$E$2*$H178,0))</f>
        <v/>
      </c>
      <c r="T178" s="15" t="str">
        <f aca="false">IF(OR($C178="",$AA178="Open"),"",$O178+$S178-$K178)</f>
        <v/>
      </c>
      <c r="U178" s="15" t="str">
        <f aca="false">IF(OR($C178="",$AA178="Open"),"",IF(AND($C178="Covered call",$L178="Assigned"),($F178-$J178)*$E$2*$H178,0))</f>
        <v/>
      </c>
      <c r="V178" s="15" t="str">
        <f aca="false">IF(OR($C178="",$AA178="Open"),"",$T178+$U178)</f>
        <v/>
      </c>
      <c r="W178" s="15" t="str">
        <f aca="false">IF($C178="","",IF(OR($C178="Long call",$C178="Long put"),$I178*$E$2*$H178,(IF($C178="Covered call",$J178,$F178)-$I178)*$E$2*$H178))</f>
        <v/>
      </c>
      <c r="X178" s="17" t="str">
        <f aca="false">IF(OR($C178="",$AA178="Open"),"",IF($W178&gt;0,$V178/$W178,""))</f>
        <v/>
      </c>
      <c r="Y178" s="17" t="str">
        <f aca="false">IF(OR($C178="",$AA178="Open"),"",IF($W178&gt;0,$X178*365/MAX($Q178,1),""))</f>
        <v/>
      </c>
      <c r="Z178" s="18" t="str">
        <f aca="false">IF(OR($C178="",$AA178="Open"),"",IF($M178&lt;&gt;"",$M178,$G178))</f>
        <v/>
      </c>
      <c r="AA178" s="12" t="str">
        <f aca="false">IF($C178="","",IF(OR($L178="Open",$L178=""),"Open","Realized"))</f>
        <v/>
      </c>
    </row>
    <row r="179" customFormat="false" ht="15" hidden="false" customHeight="false" outlineLevel="0" collapsed="false">
      <c r="A179" s="7"/>
      <c r="B179" s="9"/>
      <c r="C179" s="9"/>
      <c r="D179" s="12" t="str">
        <f aca="false">IF($C179="","",IF(OR($C179="Long call",$C179="Covered call"),"Call","Put"))</f>
        <v/>
      </c>
      <c r="E179" s="12" t="str">
        <f aca="false">IF($C179="","",IF(OR($C179="Long call",$C179="Long put"),"Buy to open","Sell to open"))</f>
        <v/>
      </c>
      <c r="F179" s="13"/>
      <c r="G179" s="7"/>
      <c r="H179" s="14"/>
      <c r="I179" s="13"/>
      <c r="J179" s="13"/>
      <c r="K179" s="13"/>
      <c r="L179" s="9"/>
      <c r="M179" s="7"/>
      <c r="N179" s="13"/>
      <c r="O179" s="15" t="str">
        <f aca="false">IF($C179="","",IF($E179="Sell to open",1,-1)*$I179*$E$2*$H179)</f>
        <v/>
      </c>
      <c r="P179" s="15" t="str">
        <f aca="false">IF($C179="","",IF($C179="Long call",$F179+$I179,IF($C179="Covered call",$J179-$I179,$F179-$I179)))</f>
        <v/>
      </c>
      <c r="Q179" s="16" t="str">
        <f aca="false">IF($C179="","",IF($AA179="Open",$B$2,IF($M179&lt;&gt;"",$M179,$G179))-$A179)</f>
        <v/>
      </c>
      <c r="R179" s="16" t="str">
        <f aca="false">IF($C179="","",IF($AA179="Open",MAX($G179-$B$2,0),""))</f>
        <v/>
      </c>
      <c r="S179" s="15" t="str">
        <f aca="false">IF(OR($C179="",$AA179="Open"),"",IF($L179="Closed",-IF($E179="Sell to open",1,-1)*$N179*$E$2*$H179,0))</f>
        <v/>
      </c>
      <c r="T179" s="15" t="str">
        <f aca="false">IF(OR($C179="",$AA179="Open"),"",$O179+$S179-$K179)</f>
        <v/>
      </c>
      <c r="U179" s="15" t="str">
        <f aca="false">IF(OR($C179="",$AA179="Open"),"",IF(AND($C179="Covered call",$L179="Assigned"),($F179-$J179)*$E$2*$H179,0))</f>
        <v/>
      </c>
      <c r="V179" s="15" t="str">
        <f aca="false">IF(OR($C179="",$AA179="Open"),"",$T179+$U179)</f>
        <v/>
      </c>
      <c r="W179" s="15" t="str">
        <f aca="false">IF($C179="","",IF(OR($C179="Long call",$C179="Long put"),$I179*$E$2*$H179,(IF($C179="Covered call",$J179,$F179)-$I179)*$E$2*$H179))</f>
        <v/>
      </c>
      <c r="X179" s="17" t="str">
        <f aca="false">IF(OR($C179="",$AA179="Open"),"",IF($W179&gt;0,$V179/$W179,""))</f>
        <v/>
      </c>
      <c r="Y179" s="17" t="str">
        <f aca="false">IF(OR($C179="",$AA179="Open"),"",IF($W179&gt;0,$X179*365/MAX($Q179,1),""))</f>
        <v/>
      </c>
      <c r="Z179" s="18" t="str">
        <f aca="false">IF(OR($C179="",$AA179="Open"),"",IF($M179&lt;&gt;"",$M179,$G179))</f>
        <v/>
      </c>
      <c r="AA179" s="12" t="str">
        <f aca="false">IF($C179="","",IF(OR($L179="Open",$L179=""),"Open","Realized"))</f>
        <v/>
      </c>
    </row>
    <row r="180" customFormat="false" ht="15" hidden="false" customHeight="false" outlineLevel="0" collapsed="false">
      <c r="A180" s="7"/>
      <c r="B180" s="9"/>
      <c r="C180" s="9"/>
      <c r="D180" s="12" t="str">
        <f aca="false">IF($C180="","",IF(OR($C180="Long call",$C180="Covered call"),"Call","Put"))</f>
        <v/>
      </c>
      <c r="E180" s="12" t="str">
        <f aca="false">IF($C180="","",IF(OR($C180="Long call",$C180="Long put"),"Buy to open","Sell to open"))</f>
        <v/>
      </c>
      <c r="F180" s="13"/>
      <c r="G180" s="7"/>
      <c r="H180" s="14"/>
      <c r="I180" s="13"/>
      <c r="J180" s="13"/>
      <c r="K180" s="13"/>
      <c r="L180" s="9"/>
      <c r="M180" s="7"/>
      <c r="N180" s="13"/>
      <c r="O180" s="15" t="str">
        <f aca="false">IF($C180="","",IF($E180="Sell to open",1,-1)*$I180*$E$2*$H180)</f>
        <v/>
      </c>
      <c r="P180" s="15" t="str">
        <f aca="false">IF($C180="","",IF($C180="Long call",$F180+$I180,IF($C180="Covered call",$J180-$I180,$F180-$I180)))</f>
        <v/>
      </c>
      <c r="Q180" s="16" t="str">
        <f aca="false">IF($C180="","",IF($AA180="Open",$B$2,IF($M180&lt;&gt;"",$M180,$G180))-$A180)</f>
        <v/>
      </c>
      <c r="R180" s="16" t="str">
        <f aca="false">IF($C180="","",IF($AA180="Open",MAX($G180-$B$2,0),""))</f>
        <v/>
      </c>
      <c r="S180" s="15" t="str">
        <f aca="false">IF(OR($C180="",$AA180="Open"),"",IF($L180="Closed",-IF($E180="Sell to open",1,-1)*$N180*$E$2*$H180,0))</f>
        <v/>
      </c>
      <c r="T180" s="15" t="str">
        <f aca="false">IF(OR($C180="",$AA180="Open"),"",$O180+$S180-$K180)</f>
        <v/>
      </c>
      <c r="U180" s="15" t="str">
        <f aca="false">IF(OR($C180="",$AA180="Open"),"",IF(AND($C180="Covered call",$L180="Assigned"),($F180-$J180)*$E$2*$H180,0))</f>
        <v/>
      </c>
      <c r="V180" s="15" t="str">
        <f aca="false">IF(OR($C180="",$AA180="Open"),"",$T180+$U180)</f>
        <v/>
      </c>
      <c r="W180" s="15" t="str">
        <f aca="false">IF($C180="","",IF(OR($C180="Long call",$C180="Long put"),$I180*$E$2*$H180,(IF($C180="Covered call",$J180,$F180)-$I180)*$E$2*$H180))</f>
        <v/>
      </c>
      <c r="X180" s="17" t="str">
        <f aca="false">IF(OR($C180="",$AA180="Open"),"",IF($W180&gt;0,$V180/$W180,""))</f>
        <v/>
      </c>
      <c r="Y180" s="17" t="str">
        <f aca="false">IF(OR($C180="",$AA180="Open"),"",IF($W180&gt;0,$X180*365/MAX($Q180,1),""))</f>
        <v/>
      </c>
      <c r="Z180" s="18" t="str">
        <f aca="false">IF(OR($C180="",$AA180="Open"),"",IF($M180&lt;&gt;"",$M180,$G180))</f>
        <v/>
      </c>
      <c r="AA180" s="12" t="str">
        <f aca="false">IF($C180="","",IF(OR($L180="Open",$L180=""),"Open","Realized"))</f>
        <v/>
      </c>
    </row>
    <row r="181" customFormat="false" ht="15" hidden="false" customHeight="false" outlineLevel="0" collapsed="false">
      <c r="A181" s="7"/>
      <c r="B181" s="9"/>
      <c r="C181" s="9"/>
      <c r="D181" s="12" t="str">
        <f aca="false">IF($C181="","",IF(OR($C181="Long call",$C181="Covered call"),"Call","Put"))</f>
        <v/>
      </c>
      <c r="E181" s="12" t="str">
        <f aca="false">IF($C181="","",IF(OR($C181="Long call",$C181="Long put"),"Buy to open","Sell to open"))</f>
        <v/>
      </c>
      <c r="F181" s="13"/>
      <c r="G181" s="7"/>
      <c r="H181" s="14"/>
      <c r="I181" s="13"/>
      <c r="J181" s="13"/>
      <c r="K181" s="13"/>
      <c r="L181" s="9"/>
      <c r="M181" s="7"/>
      <c r="N181" s="13"/>
      <c r="O181" s="15" t="str">
        <f aca="false">IF($C181="","",IF($E181="Sell to open",1,-1)*$I181*$E$2*$H181)</f>
        <v/>
      </c>
      <c r="P181" s="15" t="str">
        <f aca="false">IF($C181="","",IF($C181="Long call",$F181+$I181,IF($C181="Covered call",$J181-$I181,$F181-$I181)))</f>
        <v/>
      </c>
      <c r="Q181" s="16" t="str">
        <f aca="false">IF($C181="","",IF($AA181="Open",$B$2,IF($M181&lt;&gt;"",$M181,$G181))-$A181)</f>
        <v/>
      </c>
      <c r="R181" s="16" t="str">
        <f aca="false">IF($C181="","",IF($AA181="Open",MAX($G181-$B$2,0),""))</f>
        <v/>
      </c>
      <c r="S181" s="15" t="str">
        <f aca="false">IF(OR($C181="",$AA181="Open"),"",IF($L181="Closed",-IF($E181="Sell to open",1,-1)*$N181*$E$2*$H181,0))</f>
        <v/>
      </c>
      <c r="T181" s="15" t="str">
        <f aca="false">IF(OR($C181="",$AA181="Open"),"",$O181+$S181-$K181)</f>
        <v/>
      </c>
      <c r="U181" s="15" t="str">
        <f aca="false">IF(OR($C181="",$AA181="Open"),"",IF(AND($C181="Covered call",$L181="Assigned"),($F181-$J181)*$E$2*$H181,0))</f>
        <v/>
      </c>
      <c r="V181" s="15" t="str">
        <f aca="false">IF(OR($C181="",$AA181="Open"),"",$T181+$U181)</f>
        <v/>
      </c>
      <c r="W181" s="15" t="str">
        <f aca="false">IF($C181="","",IF(OR($C181="Long call",$C181="Long put"),$I181*$E$2*$H181,(IF($C181="Covered call",$J181,$F181)-$I181)*$E$2*$H181))</f>
        <v/>
      </c>
      <c r="X181" s="17" t="str">
        <f aca="false">IF(OR($C181="",$AA181="Open"),"",IF($W181&gt;0,$V181/$W181,""))</f>
        <v/>
      </c>
      <c r="Y181" s="17" t="str">
        <f aca="false">IF(OR($C181="",$AA181="Open"),"",IF($W181&gt;0,$X181*365/MAX($Q181,1),""))</f>
        <v/>
      </c>
      <c r="Z181" s="18" t="str">
        <f aca="false">IF(OR($C181="",$AA181="Open"),"",IF($M181&lt;&gt;"",$M181,$G181))</f>
        <v/>
      </c>
      <c r="AA181" s="12" t="str">
        <f aca="false">IF($C181="","",IF(OR($L181="Open",$L181=""),"Open","Realized"))</f>
        <v/>
      </c>
    </row>
    <row r="182" customFormat="false" ht="15" hidden="false" customHeight="false" outlineLevel="0" collapsed="false">
      <c r="A182" s="7"/>
      <c r="B182" s="9"/>
      <c r="C182" s="9"/>
      <c r="D182" s="12" t="str">
        <f aca="false">IF($C182="","",IF(OR($C182="Long call",$C182="Covered call"),"Call","Put"))</f>
        <v/>
      </c>
      <c r="E182" s="12" t="str">
        <f aca="false">IF($C182="","",IF(OR($C182="Long call",$C182="Long put"),"Buy to open","Sell to open"))</f>
        <v/>
      </c>
      <c r="F182" s="13"/>
      <c r="G182" s="7"/>
      <c r="H182" s="14"/>
      <c r="I182" s="13"/>
      <c r="J182" s="13"/>
      <c r="K182" s="13"/>
      <c r="L182" s="9"/>
      <c r="M182" s="7"/>
      <c r="N182" s="13"/>
      <c r="O182" s="15" t="str">
        <f aca="false">IF($C182="","",IF($E182="Sell to open",1,-1)*$I182*$E$2*$H182)</f>
        <v/>
      </c>
      <c r="P182" s="15" t="str">
        <f aca="false">IF($C182="","",IF($C182="Long call",$F182+$I182,IF($C182="Covered call",$J182-$I182,$F182-$I182)))</f>
        <v/>
      </c>
      <c r="Q182" s="16" t="str">
        <f aca="false">IF($C182="","",IF($AA182="Open",$B$2,IF($M182&lt;&gt;"",$M182,$G182))-$A182)</f>
        <v/>
      </c>
      <c r="R182" s="16" t="str">
        <f aca="false">IF($C182="","",IF($AA182="Open",MAX($G182-$B$2,0),""))</f>
        <v/>
      </c>
      <c r="S182" s="15" t="str">
        <f aca="false">IF(OR($C182="",$AA182="Open"),"",IF($L182="Closed",-IF($E182="Sell to open",1,-1)*$N182*$E$2*$H182,0))</f>
        <v/>
      </c>
      <c r="T182" s="15" t="str">
        <f aca="false">IF(OR($C182="",$AA182="Open"),"",$O182+$S182-$K182)</f>
        <v/>
      </c>
      <c r="U182" s="15" t="str">
        <f aca="false">IF(OR($C182="",$AA182="Open"),"",IF(AND($C182="Covered call",$L182="Assigned"),($F182-$J182)*$E$2*$H182,0))</f>
        <v/>
      </c>
      <c r="V182" s="15" t="str">
        <f aca="false">IF(OR($C182="",$AA182="Open"),"",$T182+$U182)</f>
        <v/>
      </c>
      <c r="W182" s="15" t="str">
        <f aca="false">IF($C182="","",IF(OR($C182="Long call",$C182="Long put"),$I182*$E$2*$H182,(IF($C182="Covered call",$J182,$F182)-$I182)*$E$2*$H182))</f>
        <v/>
      </c>
      <c r="X182" s="17" t="str">
        <f aca="false">IF(OR($C182="",$AA182="Open"),"",IF($W182&gt;0,$V182/$W182,""))</f>
        <v/>
      </c>
      <c r="Y182" s="17" t="str">
        <f aca="false">IF(OR($C182="",$AA182="Open"),"",IF($W182&gt;0,$X182*365/MAX($Q182,1),""))</f>
        <v/>
      </c>
      <c r="Z182" s="18" t="str">
        <f aca="false">IF(OR($C182="",$AA182="Open"),"",IF($M182&lt;&gt;"",$M182,$G182))</f>
        <v/>
      </c>
      <c r="AA182" s="12" t="str">
        <f aca="false">IF($C182="","",IF(OR($L182="Open",$L182=""),"Open","Realized"))</f>
        <v/>
      </c>
    </row>
    <row r="183" customFormat="false" ht="15" hidden="false" customHeight="false" outlineLevel="0" collapsed="false">
      <c r="A183" s="7"/>
      <c r="B183" s="9"/>
      <c r="C183" s="9"/>
      <c r="D183" s="12" t="str">
        <f aca="false">IF($C183="","",IF(OR($C183="Long call",$C183="Covered call"),"Call","Put"))</f>
        <v/>
      </c>
      <c r="E183" s="12" t="str">
        <f aca="false">IF($C183="","",IF(OR($C183="Long call",$C183="Long put"),"Buy to open","Sell to open"))</f>
        <v/>
      </c>
      <c r="F183" s="13"/>
      <c r="G183" s="7"/>
      <c r="H183" s="14"/>
      <c r="I183" s="13"/>
      <c r="J183" s="13"/>
      <c r="K183" s="13"/>
      <c r="L183" s="9"/>
      <c r="M183" s="7"/>
      <c r="N183" s="13"/>
      <c r="O183" s="15" t="str">
        <f aca="false">IF($C183="","",IF($E183="Sell to open",1,-1)*$I183*$E$2*$H183)</f>
        <v/>
      </c>
      <c r="P183" s="15" t="str">
        <f aca="false">IF($C183="","",IF($C183="Long call",$F183+$I183,IF($C183="Covered call",$J183-$I183,$F183-$I183)))</f>
        <v/>
      </c>
      <c r="Q183" s="16" t="str">
        <f aca="false">IF($C183="","",IF($AA183="Open",$B$2,IF($M183&lt;&gt;"",$M183,$G183))-$A183)</f>
        <v/>
      </c>
      <c r="R183" s="16" t="str">
        <f aca="false">IF($C183="","",IF($AA183="Open",MAX($G183-$B$2,0),""))</f>
        <v/>
      </c>
      <c r="S183" s="15" t="str">
        <f aca="false">IF(OR($C183="",$AA183="Open"),"",IF($L183="Closed",-IF($E183="Sell to open",1,-1)*$N183*$E$2*$H183,0))</f>
        <v/>
      </c>
      <c r="T183" s="15" t="str">
        <f aca="false">IF(OR($C183="",$AA183="Open"),"",$O183+$S183-$K183)</f>
        <v/>
      </c>
      <c r="U183" s="15" t="str">
        <f aca="false">IF(OR($C183="",$AA183="Open"),"",IF(AND($C183="Covered call",$L183="Assigned"),($F183-$J183)*$E$2*$H183,0))</f>
        <v/>
      </c>
      <c r="V183" s="15" t="str">
        <f aca="false">IF(OR($C183="",$AA183="Open"),"",$T183+$U183)</f>
        <v/>
      </c>
      <c r="W183" s="15" t="str">
        <f aca="false">IF($C183="","",IF(OR($C183="Long call",$C183="Long put"),$I183*$E$2*$H183,(IF($C183="Covered call",$J183,$F183)-$I183)*$E$2*$H183))</f>
        <v/>
      </c>
      <c r="X183" s="17" t="str">
        <f aca="false">IF(OR($C183="",$AA183="Open"),"",IF($W183&gt;0,$V183/$W183,""))</f>
        <v/>
      </c>
      <c r="Y183" s="17" t="str">
        <f aca="false">IF(OR($C183="",$AA183="Open"),"",IF($W183&gt;0,$X183*365/MAX($Q183,1),""))</f>
        <v/>
      </c>
      <c r="Z183" s="18" t="str">
        <f aca="false">IF(OR($C183="",$AA183="Open"),"",IF($M183&lt;&gt;"",$M183,$G183))</f>
        <v/>
      </c>
      <c r="AA183" s="12" t="str">
        <f aca="false">IF($C183="","",IF(OR($L183="Open",$L183=""),"Open","Realized"))</f>
        <v/>
      </c>
    </row>
    <row r="184" customFormat="false" ht="15" hidden="false" customHeight="false" outlineLevel="0" collapsed="false">
      <c r="A184" s="7"/>
      <c r="B184" s="9"/>
      <c r="C184" s="9"/>
      <c r="D184" s="12" t="str">
        <f aca="false">IF($C184="","",IF(OR($C184="Long call",$C184="Covered call"),"Call","Put"))</f>
        <v/>
      </c>
      <c r="E184" s="12" t="str">
        <f aca="false">IF($C184="","",IF(OR($C184="Long call",$C184="Long put"),"Buy to open","Sell to open"))</f>
        <v/>
      </c>
      <c r="F184" s="13"/>
      <c r="G184" s="7"/>
      <c r="H184" s="14"/>
      <c r="I184" s="13"/>
      <c r="J184" s="13"/>
      <c r="K184" s="13"/>
      <c r="L184" s="9"/>
      <c r="M184" s="7"/>
      <c r="N184" s="13"/>
      <c r="O184" s="15" t="str">
        <f aca="false">IF($C184="","",IF($E184="Sell to open",1,-1)*$I184*$E$2*$H184)</f>
        <v/>
      </c>
      <c r="P184" s="15" t="str">
        <f aca="false">IF($C184="","",IF($C184="Long call",$F184+$I184,IF($C184="Covered call",$J184-$I184,$F184-$I184)))</f>
        <v/>
      </c>
      <c r="Q184" s="16" t="str">
        <f aca="false">IF($C184="","",IF($AA184="Open",$B$2,IF($M184&lt;&gt;"",$M184,$G184))-$A184)</f>
        <v/>
      </c>
      <c r="R184" s="16" t="str">
        <f aca="false">IF($C184="","",IF($AA184="Open",MAX($G184-$B$2,0),""))</f>
        <v/>
      </c>
      <c r="S184" s="15" t="str">
        <f aca="false">IF(OR($C184="",$AA184="Open"),"",IF($L184="Closed",-IF($E184="Sell to open",1,-1)*$N184*$E$2*$H184,0))</f>
        <v/>
      </c>
      <c r="T184" s="15" t="str">
        <f aca="false">IF(OR($C184="",$AA184="Open"),"",$O184+$S184-$K184)</f>
        <v/>
      </c>
      <c r="U184" s="15" t="str">
        <f aca="false">IF(OR($C184="",$AA184="Open"),"",IF(AND($C184="Covered call",$L184="Assigned"),($F184-$J184)*$E$2*$H184,0))</f>
        <v/>
      </c>
      <c r="V184" s="15" t="str">
        <f aca="false">IF(OR($C184="",$AA184="Open"),"",$T184+$U184)</f>
        <v/>
      </c>
      <c r="W184" s="15" t="str">
        <f aca="false">IF($C184="","",IF(OR($C184="Long call",$C184="Long put"),$I184*$E$2*$H184,(IF($C184="Covered call",$J184,$F184)-$I184)*$E$2*$H184))</f>
        <v/>
      </c>
      <c r="X184" s="17" t="str">
        <f aca="false">IF(OR($C184="",$AA184="Open"),"",IF($W184&gt;0,$V184/$W184,""))</f>
        <v/>
      </c>
      <c r="Y184" s="17" t="str">
        <f aca="false">IF(OR($C184="",$AA184="Open"),"",IF($W184&gt;0,$X184*365/MAX($Q184,1),""))</f>
        <v/>
      </c>
      <c r="Z184" s="18" t="str">
        <f aca="false">IF(OR($C184="",$AA184="Open"),"",IF($M184&lt;&gt;"",$M184,$G184))</f>
        <v/>
      </c>
      <c r="AA184" s="12" t="str">
        <f aca="false">IF($C184="","",IF(OR($L184="Open",$L184=""),"Open","Realized"))</f>
        <v/>
      </c>
    </row>
    <row r="185" customFormat="false" ht="15" hidden="false" customHeight="false" outlineLevel="0" collapsed="false">
      <c r="A185" s="7"/>
      <c r="B185" s="9"/>
      <c r="C185" s="9"/>
      <c r="D185" s="12" t="str">
        <f aca="false">IF($C185="","",IF(OR($C185="Long call",$C185="Covered call"),"Call","Put"))</f>
        <v/>
      </c>
      <c r="E185" s="12" t="str">
        <f aca="false">IF($C185="","",IF(OR($C185="Long call",$C185="Long put"),"Buy to open","Sell to open"))</f>
        <v/>
      </c>
      <c r="F185" s="13"/>
      <c r="G185" s="7"/>
      <c r="H185" s="14"/>
      <c r="I185" s="13"/>
      <c r="J185" s="13"/>
      <c r="K185" s="13"/>
      <c r="L185" s="9"/>
      <c r="M185" s="7"/>
      <c r="N185" s="13"/>
      <c r="O185" s="15" t="str">
        <f aca="false">IF($C185="","",IF($E185="Sell to open",1,-1)*$I185*$E$2*$H185)</f>
        <v/>
      </c>
      <c r="P185" s="15" t="str">
        <f aca="false">IF($C185="","",IF($C185="Long call",$F185+$I185,IF($C185="Covered call",$J185-$I185,$F185-$I185)))</f>
        <v/>
      </c>
      <c r="Q185" s="16" t="str">
        <f aca="false">IF($C185="","",IF($AA185="Open",$B$2,IF($M185&lt;&gt;"",$M185,$G185))-$A185)</f>
        <v/>
      </c>
      <c r="R185" s="16" t="str">
        <f aca="false">IF($C185="","",IF($AA185="Open",MAX($G185-$B$2,0),""))</f>
        <v/>
      </c>
      <c r="S185" s="15" t="str">
        <f aca="false">IF(OR($C185="",$AA185="Open"),"",IF($L185="Closed",-IF($E185="Sell to open",1,-1)*$N185*$E$2*$H185,0))</f>
        <v/>
      </c>
      <c r="T185" s="15" t="str">
        <f aca="false">IF(OR($C185="",$AA185="Open"),"",$O185+$S185-$K185)</f>
        <v/>
      </c>
      <c r="U185" s="15" t="str">
        <f aca="false">IF(OR($C185="",$AA185="Open"),"",IF(AND($C185="Covered call",$L185="Assigned"),($F185-$J185)*$E$2*$H185,0))</f>
        <v/>
      </c>
      <c r="V185" s="15" t="str">
        <f aca="false">IF(OR($C185="",$AA185="Open"),"",$T185+$U185)</f>
        <v/>
      </c>
      <c r="W185" s="15" t="str">
        <f aca="false">IF($C185="","",IF(OR($C185="Long call",$C185="Long put"),$I185*$E$2*$H185,(IF($C185="Covered call",$J185,$F185)-$I185)*$E$2*$H185))</f>
        <v/>
      </c>
      <c r="X185" s="17" t="str">
        <f aca="false">IF(OR($C185="",$AA185="Open"),"",IF($W185&gt;0,$V185/$W185,""))</f>
        <v/>
      </c>
      <c r="Y185" s="17" t="str">
        <f aca="false">IF(OR($C185="",$AA185="Open"),"",IF($W185&gt;0,$X185*365/MAX($Q185,1),""))</f>
        <v/>
      </c>
      <c r="Z185" s="18" t="str">
        <f aca="false">IF(OR($C185="",$AA185="Open"),"",IF($M185&lt;&gt;"",$M185,$G185))</f>
        <v/>
      </c>
      <c r="AA185" s="12" t="str">
        <f aca="false">IF($C185="","",IF(OR($L185="Open",$L185=""),"Open","Realized"))</f>
        <v/>
      </c>
    </row>
    <row r="186" customFormat="false" ht="15" hidden="false" customHeight="false" outlineLevel="0" collapsed="false">
      <c r="A186" s="7"/>
      <c r="B186" s="9"/>
      <c r="C186" s="9"/>
      <c r="D186" s="12" t="str">
        <f aca="false">IF($C186="","",IF(OR($C186="Long call",$C186="Covered call"),"Call","Put"))</f>
        <v/>
      </c>
      <c r="E186" s="12" t="str">
        <f aca="false">IF($C186="","",IF(OR($C186="Long call",$C186="Long put"),"Buy to open","Sell to open"))</f>
        <v/>
      </c>
      <c r="F186" s="13"/>
      <c r="G186" s="7"/>
      <c r="H186" s="14"/>
      <c r="I186" s="13"/>
      <c r="J186" s="13"/>
      <c r="K186" s="13"/>
      <c r="L186" s="9"/>
      <c r="M186" s="7"/>
      <c r="N186" s="13"/>
      <c r="O186" s="15" t="str">
        <f aca="false">IF($C186="","",IF($E186="Sell to open",1,-1)*$I186*$E$2*$H186)</f>
        <v/>
      </c>
      <c r="P186" s="15" t="str">
        <f aca="false">IF($C186="","",IF($C186="Long call",$F186+$I186,IF($C186="Covered call",$J186-$I186,$F186-$I186)))</f>
        <v/>
      </c>
      <c r="Q186" s="16" t="str">
        <f aca="false">IF($C186="","",IF($AA186="Open",$B$2,IF($M186&lt;&gt;"",$M186,$G186))-$A186)</f>
        <v/>
      </c>
      <c r="R186" s="16" t="str">
        <f aca="false">IF($C186="","",IF($AA186="Open",MAX($G186-$B$2,0),""))</f>
        <v/>
      </c>
      <c r="S186" s="15" t="str">
        <f aca="false">IF(OR($C186="",$AA186="Open"),"",IF($L186="Closed",-IF($E186="Sell to open",1,-1)*$N186*$E$2*$H186,0))</f>
        <v/>
      </c>
      <c r="T186" s="15" t="str">
        <f aca="false">IF(OR($C186="",$AA186="Open"),"",$O186+$S186-$K186)</f>
        <v/>
      </c>
      <c r="U186" s="15" t="str">
        <f aca="false">IF(OR($C186="",$AA186="Open"),"",IF(AND($C186="Covered call",$L186="Assigned"),($F186-$J186)*$E$2*$H186,0))</f>
        <v/>
      </c>
      <c r="V186" s="15" t="str">
        <f aca="false">IF(OR($C186="",$AA186="Open"),"",$T186+$U186)</f>
        <v/>
      </c>
      <c r="W186" s="15" t="str">
        <f aca="false">IF($C186="","",IF(OR($C186="Long call",$C186="Long put"),$I186*$E$2*$H186,(IF($C186="Covered call",$J186,$F186)-$I186)*$E$2*$H186))</f>
        <v/>
      </c>
      <c r="X186" s="17" t="str">
        <f aca="false">IF(OR($C186="",$AA186="Open"),"",IF($W186&gt;0,$V186/$W186,""))</f>
        <v/>
      </c>
      <c r="Y186" s="17" t="str">
        <f aca="false">IF(OR($C186="",$AA186="Open"),"",IF($W186&gt;0,$X186*365/MAX($Q186,1),""))</f>
        <v/>
      </c>
      <c r="Z186" s="18" t="str">
        <f aca="false">IF(OR($C186="",$AA186="Open"),"",IF($M186&lt;&gt;"",$M186,$G186))</f>
        <v/>
      </c>
      <c r="AA186" s="12" t="str">
        <f aca="false">IF($C186="","",IF(OR($L186="Open",$L186=""),"Open","Realized"))</f>
        <v/>
      </c>
    </row>
    <row r="187" customFormat="false" ht="15" hidden="false" customHeight="false" outlineLevel="0" collapsed="false">
      <c r="A187" s="7"/>
      <c r="B187" s="9"/>
      <c r="C187" s="9"/>
      <c r="D187" s="12" t="str">
        <f aca="false">IF($C187="","",IF(OR($C187="Long call",$C187="Covered call"),"Call","Put"))</f>
        <v/>
      </c>
      <c r="E187" s="12" t="str">
        <f aca="false">IF($C187="","",IF(OR($C187="Long call",$C187="Long put"),"Buy to open","Sell to open"))</f>
        <v/>
      </c>
      <c r="F187" s="13"/>
      <c r="G187" s="7"/>
      <c r="H187" s="14"/>
      <c r="I187" s="13"/>
      <c r="J187" s="13"/>
      <c r="K187" s="13"/>
      <c r="L187" s="9"/>
      <c r="M187" s="7"/>
      <c r="N187" s="13"/>
      <c r="O187" s="15" t="str">
        <f aca="false">IF($C187="","",IF($E187="Sell to open",1,-1)*$I187*$E$2*$H187)</f>
        <v/>
      </c>
      <c r="P187" s="15" t="str">
        <f aca="false">IF($C187="","",IF($C187="Long call",$F187+$I187,IF($C187="Covered call",$J187-$I187,$F187-$I187)))</f>
        <v/>
      </c>
      <c r="Q187" s="16" t="str">
        <f aca="false">IF($C187="","",IF($AA187="Open",$B$2,IF($M187&lt;&gt;"",$M187,$G187))-$A187)</f>
        <v/>
      </c>
      <c r="R187" s="16" t="str">
        <f aca="false">IF($C187="","",IF($AA187="Open",MAX($G187-$B$2,0),""))</f>
        <v/>
      </c>
      <c r="S187" s="15" t="str">
        <f aca="false">IF(OR($C187="",$AA187="Open"),"",IF($L187="Closed",-IF($E187="Sell to open",1,-1)*$N187*$E$2*$H187,0))</f>
        <v/>
      </c>
      <c r="T187" s="15" t="str">
        <f aca="false">IF(OR($C187="",$AA187="Open"),"",$O187+$S187-$K187)</f>
        <v/>
      </c>
      <c r="U187" s="15" t="str">
        <f aca="false">IF(OR($C187="",$AA187="Open"),"",IF(AND($C187="Covered call",$L187="Assigned"),($F187-$J187)*$E$2*$H187,0))</f>
        <v/>
      </c>
      <c r="V187" s="15" t="str">
        <f aca="false">IF(OR($C187="",$AA187="Open"),"",$T187+$U187)</f>
        <v/>
      </c>
      <c r="W187" s="15" t="str">
        <f aca="false">IF($C187="","",IF(OR($C187="Long call",$C187="Long put"),$I187*$E$2*$H187,(IF($C187="Covered call",$J187,$F187)-$I187)*$E$2*$H187))</f>
        <v/>
      </c>
      <c r="X187" s="17" t="str">
        <f aca="false">IF(OR($C187="",$AA187="Open"),"",IF($W187&gt;0,$V187/$W187,""))</f>
        <v/>
      </c>
      <c r="Y187" s="17" t="str">
        <f aca="false">IF(OR($C187="",$AA187="Open"),"",IF($W187&gt;0,$X187*365/MAX($Q187,1),""))</f>
        <v/>
      </c>
      <c r="Z187" s="18" t="str">
        <f aca="false">IF(OR($C187="",$AA187="Open"),"",IF($M187&lt;&gt;"",$M187,$G187))</f>
        <v/>
      </c>
      <c r="AA187" s="12" t="str">
        <f aca="false">IF($C187="","",IF(OR($L187="Open",$L187=""),"Open","Realized"))</f>
        <v/>
      </c>
    </row>
    <row r="188" customFormat="false" ht="15" hidden="false" customHeight="false" outlineLevel="0" collapsed="false">
      <c r="A188" s="7"/>
      <c r="B188" s="9"/>
      <c r="C188" s="9"/>
      <c r="D188" s="12" t="str">
        <f aca="false">IF($C188="","",IF(OR($C188="Long call",$C188="Covered call"),"Call","Put"))</f>
        <v/>
      </c>
      <c r="E188" s="12" t="str">
        <f aca="false">IF($C188="","",IF(OR($C188="Long call",$C188="Long put"),"Buy to open","Sell to open"))</f>
        <v/>
      </c>
      <c r="F188" s="13"/>
      <c r="G188" s="7"/>
      <c r="H188" s="14"/>
      <c r="I188" s="13"/>
      <c r="J188" s="13"/>
      <c r="K188" s="13"/>
      <c r="L188" s="9"/>
      <c r="M188" s="7"/>
      <c r="N188" s="13"/>
      <c r="O188" s="15" t="str">
        <f aca="false">IF($C188="","",IF($E188="Sell to open",1,-1)*$I188*$E$2*$H188)</f>
        <v/>
      </c>
      <c r="P188" s="15" t="str">
        <f aca="false">IF($C188="","",IF($C188="Long call",$F188+$I188,IF($C188="Covered call",$J188-$I188,$F188-$I188)))</f>
        <v/>
      </c>
      <c r="Q188" s="16" t="str">
        <f aca="false">IF($C188="","",IF($AA188="Open",$B$2,IF($M188&lt;&gt;"",$M188,$G188))-$A188)</f>
        <v/>
      </c>
      <c r="R188" s="16" t="str">
        <f aca="false">IF($C188="","",IF($AA188="Open",MAX($G188-$B$2,0),""))</f>
        <v/>
      </c>
      <c r="S188" s="15" t="str">
        <f aca="false">IF(OR($C188="",$AA188="Open"),"",IF($L188="Closed",-IF($E188="Sell to open",1,-1)*$N188*$E$2*$H188,0))</f>
        <v/>
      </c>
      <c r="T188" s="15" t="str">
        <f aca="false">IF(OR($C188="",$AA188="Open"),"",$O188+$S188-$K188)</f>
        <v/>
      </c>
      <c r="U188" s="15" t="str">
        <f aca="false">IF(OR($C188="",$AA188="Open"),"",IF(AND($C188="Covered call",$L188="Assigned"),($F188-$J188)*$E$2*$H188,0))</f>
        <v/>
      </c>
      <c r="V188" s="15" t="str">
        <f aca="false">IF(OR($C188="",$AA188="Open"),"",$T188+$U188)</f>
        <v/>
      </c>
      <c r="W188" s="15" t="str">
        <f aca="false">IF($C188="","",IF(OR($C188="Long call",$C188="Long put"),$I188*$E$2*$H188,(IF($C188="Covered call",$J188,$F188)-$I188)*$E$2*$H188))</f>
        <v/>
      </c>
      <c r="X188" s="17" t="str">
        <f aca="false">IF(OR($C188="",$AA188="Open"),"",IF($W188&gt;0,$V188/$W188,""))</f>
        <v/>
      </c>
      <c r="Y188" s="17" t="str">
        <f aca="false">IF(OR($C188="",$AA188="Open"),"",IF($W188&gt;0,$X188*365/MAX($Q188,1),""))</f>
        <v/>
      </c>
      <c r="Z188" s="18" t="str">
        <f aca="false">IF(OR($C188="",$AA188="Open"),"",IF($M188&lt;&gt;"",$M188,$G188))</f>
        <v/>
      </c>
      <c r="AA188" s="12" t="str">
        <f aca="false">IF($C188="","",IF(OR($L188="Open",$L188=""),"Open","Realized"))</f>
        <v/>
      </c>
    </row>
    <row r="189" customFormat="false" ht="15" hidden="false" customHeight="false" outlineLevel="0" collapsed="false">
      <c r="A189" s="7"/>
      <c r="B189" s="9"/>
      <c r="C189" s="9"/>
      <c r="D189" s="12" t="str">
        <f aca="false">IF($C189="","",IF(OR($C189="Long call",$C189="Covered call"),"Call","Put"))</f>
        <v/>
      </c>
      <c r="E189" s="12" t="str">
        <f aca="false">IF($C189="","",IF(OR($C189="Long call",$C189="Long put"),"Buy to open","Sell to open"))</f>
        <v/>
      </c>
      <c r="F189" s="13"/>
      <c r="G189" s="7"/>
      <c r="H189" s="14"/>
      <c r="I189" s="13"/>
      <c r="J189" s="13"/>
      <c r="K189" s="13"/>
      <c r="L189" s="9"/>
      <c r="M189" s="7"/>
      <c r="N189" s="13"/>
      <c r="O189" s="15" t="str">
        <f aca="false">IF($C189="","",IF($E189="Sell to open",1,-1)*$I189*$E$2*$H189)</f>
        <v/>
      </c>
      <c r="P189" s="15" t="str">
        <f aca="false">IF($C189="","",IF($C189="Long call",$F189+$I189,IF($C189="Covered call",$J189-$I189,$F189-$I189)))</f>
        <v/>
      </c>
      <c r="Q189" s="16" t="str">
        <f aca="false">IF($C189="","",IF($AA189="Open",$B$2,IF($M189&lt;&gt;"",$M189,$G189))-$A189)</f>
        <v/>
      </c>
      <c r="R189" s="16" t="str">
        <f aca="false">IF($C189="","",IF($AA189="Open",MAX($G189-$B$2,0),""))</f>
        <v/>
      </c>
      <c r="S189" s="15" t="str">
        <f aca="false">IF(OR($C189="",$AA189="Open"),"",IF($L189="Closed",-IF($E189="Sell to open",1,-1)*$N189*$E$2*$H189,0))</f>
        <v/>
      </c>
      <c r="T189" s="15" t="str">
        <f aca="false">IF(OR($C189="",$AA189="Open"),"",$O189+$S189-$K189)</f>
        <v/>
      </c>
      <c r="U189" s="15" t="str">
        <f aca="false">IF(OR($C189="",$AA189="Open"),"",IF(AND($C189="Covered call",$L189="Assigned"),($F189-$J189)*$E$2*$H189,0))</f>
        <v/>
      </c>
      <c r="V189" s="15" t="str">
        <f aca="false">IF(OR($C189="",$AA189="Open"),"",$T189+$U189)</f>
        <v/>
      </c>
      <c r="W189" s="15" t="str">
        <f aca="false">IF($C189="","",IF(OR($C189="Long call",$C189="Long put"),$I189*$E$2*$H189,(IF($C189="Covered call",$J189,$F189)-$I189)*$E$2*$H189))</f>
        <v/>
      </c>
      <c r="X189" s="17" t="str">
        <f aca="false">IF(OR($C189="",$AA189="Open"),"",IF($W189&gt;0,$V189/$W189,""))</f>
        <v/>
      </c>
      <c r="Y189" s="17" t="str">
        <f aca="false">IF(OR($C189="",$AA189="Open"),"",IF($W189&gt;0,$X189*365/MAX($Q189,1),""))</f>
        <v/>
      </c>
      <c r="Z189" s="18" t="str">
        <f aca="false">IF(OR($C189="",$AA189="Open"),"",IF($M189&lt;&gt;"",$M189,$G189))</f>
        <v/>
      </c>
      <c r="AA189" s="12" t="str">
        <f aca="false">IF($C189="","",IF(OR($L189="Open",$L189=""),"Open","Realized"))</f>
        <v/>
      </c>
    </row>
    <row r="190" customFormat="false" ht="15" hidden="false" customHeight="false" outlineLevel="0" collapsed="false">
      <c r="A190" s="7"/>
      <c r="B190" s="9"/>
      <c r="C190" s="9"/>
      <c r="D190" s="12" t="str">
        <f aca="false">IF($C190="","",IF(OR($C190="Long call",$C190="Covered call"),"Call","Put"))</f>
        <v/>
      </c>
      <c r="E190" s="12" t="str">
        <f aca="false">IF($C190="","",IF(OR($C190="Long call",$C190="Long put"),"Buy to open","Sell to open"))</f>
        <v/>
      </c>
      <c r="F190" s="13"/>
      <c r="G190" s="7"/>
      <c r="H190" s="14"/>
      <c r="I190" s="13"/>
      <c r="J190" s="13"/>
      <c r="K190" s="13"/>
      <c r="L190" s="9"/>
      <c r="M190" s="7"/>
      <c r="N190" s="13"/>
      <c r="O190" s="15" t="str">
        <f aca="false">IF($C190="","",IF($E190="Sell to open",1,-1)*$I190*$E$2*$H190)</f>
        <v/>
      </c>
      <c r="P190" s="15" t="str">
        <f aca="false">IF($C190="","",IF($C190="Long call",$F190+$I190,IF($C190="Covered call",$J190-$I190,$F190-$I190)))</f>
        <v/>
      </c>
      <c r="Q190" s="16" t="str">
        <f aca="false">IF($C190="","",IF($AA190="Open",$B$2,IF($M190&lt;&gt;"",$M190,$G190))-$A190)</f>
        <v/>
      </c>
      <c r="R190" s="16" t="str">
        <f aca="false">IF($C190="","",IF($AA190="Open",MAX($G190-$B$2,0),""))</f>
        <v/>
      </c>
      <c r="S190" s="15" t="str">
        <f aca="false">IF(OR($C190="",$AA190="Open"),"",IF($L190="Closed",-IF($E190="Sell to open",1,-1)*$N190*$E$2*$H190,0))</f>
        <v/>
      </c>
      <c r="T190" s="15" t="str">
        <f aca="false">IF(OR($C190="",$AA190="Open"),"",$O190+$S190-$K190)</f>
        <v/>
      </c>
      <c r="U190" s="15" t="str">
        <f aca="false">IF(OR($C190="",$AA190="Open"),"",IF(AND($C190="Covered call",$L190="Assigned"),($F190-$J190)*$E$2*$H190,0))</f>
        <v/>
      </c>
      <c r="V190" s="15" t="str">
        <f aca="false">IF(OR($C190="",$AA190="Open"),"",$T190+$U190)</f>
        <v/>
      </c>
      <c r="W190" s="15" t="str">
        <f aca="false">IF($C190="","",IF(OR($C190="Long call",$C190="Long put"),$I190*$E$2*$H190,(IF($C190="Covered call",$J190,$F190)-$I190)*$E$2*$H190))</f>
        <v/>
      </c>
      <c r="X190" s="17" t="str">
        <f aca="false">IF(OR($C190="",$AA190="Open"),"",IF($W190&gt;0,$V190/$W190,""))</f>
        <v/>
      </c>
      <c r="Y190" s="17" t="str">
        <f aca="false">IF(OR($C190="",$AA190="Open"),"",IF($W190&gt;0,$X190*365/MAX($Q190,1),""))</f>
        <v/>
      </c>
      <c r="Z190" s="18" t="str">
        <f aca="false">IF(OR($C190="",$AA190="Open"),"",IF($M190&lt;&gt;"",$M190,$G190))</f>
        <v/>
      </c>
      <c r="AA190" s="12" t="str">
        <f aca="false">IF($C190="","",IF(OR($L190="Open",$L190=""),"Open","Realized"))</f>
        <v/>
      </c>
    </row>
    <row r="191" customFormat="false" ht="15" hidden="false" customHeight="false" outlineLevel="0" collapsed="false">
      <c r="A191" s="7"/>
      <c r="B191" s="9"/>
      <c r="C191" s="9"/>
      <c r="D191" s="12" t="str">
        <f aca="false">IF($C191="","",IF(OR($C191="Long call",$C191="Covered call"),"Call","Put"))</f>
        <v/>
      </c>
      <c r="E191" s="12" t="str">
        <f aca="false">IF($C191="","",IF(OR($C191="Long call",$C191="Long put"),"Buy to open","Sell to open"))</f>
        <v/>
      </c>
      <c r="F191" s="13"/>
      <c r="G191" s="7"/>
      <c r="H191" s="14"/>
      <c r="I191" s="13"/>
      <c r="J191" s="13"/>
      <c r="K191" s="13"/>
      <c r="L191" s="9"/>
      <c r="M191" s="7"/>
      <c r="N191" s="13"/>
      <c r="O191" s="15" t="str">
        <f aca="false">IF($C191="","",IF($E191="Sell to open",1,-1)*$I191*$E$2*$H191)</f>
        <v/>
      </c>
      <c r="P191" s="15" t="str">
        <f aca="false">IF($C191="","",IF($C191="Long call",$F191+$I191,IF($C191="Covered call",$J191-$I191,$F191-$I191)))</f>
        <v/>
      </c>
      <c r="Q191" s="16" t="str">
        <f aca="false">IF($C191="","",IF($AA191="Open",$B$2,IF($M191&lt;&gt;"",$M191,$G191))-$A191)</f>
        <v/>
      </c>
      <c r="R191" s="16" t="str">
        <f aca="false">IF($C191="","",IF($AA191="Open",MAX($G191-$B$2,0),""))</f>
        <v/>
      </c>
      <c r="S191" s="15" t="str">
        <f aca="false">IF(OR($C191="",$AA191="Open"),"",IF($L191="Closed",-IF($E191="Sell to open",1,-1)*$N191*$E$2*$H191,0))</f>
        <v/>
      </c>
      <c r="T191" s="15" t="str">
        <f aca="false">IF(OR($C191="",$AA191="Open"),"",$O191+$S191-$K191)</f>
        <v/>
      </c>
      <c r="U191" s="15" t="str">
        <f aca="false">IF(OR($C191="",$AA191="Open"),"",IF(AND($C191="Covered call",$L191="Assigned"),($F191-$J191)*$E$2*$H191,0))</f>
        <v/>
      </c>
      <c r="V191" s="15" t="str">
        <f aca="false">IF(OR($C191="",$AA191="Open"),"",$T191+$U191)</f>
        <v/>
      </c>
      <c r="W191" s="15" t="str">
        <f aca="false">IF($C191="","",IF(OR($C191="Long call",$C191="Long put"),$I191*$E$2*$H191,(IF($C191="Covered call",$J191,$F191)-$I191)*$E$2*$H191))</f>
        <v/>
      </c>
      <c r="X191" s="17" t="str">
        <f aca="false">IF(OR($C191="",$AA191="Open"),"",IF($W191&gt;0,$V191/$W191,""))</f>
        <v/>
      </c>
      <c r="Y191" s="17" t="str">
        <f aca="false">IF(OR($C191="",$AA191="Open"),"",IF($W191&gt;0,$X191*365/MAX($Q191,1),""))</f>
        <v/>
      </c>
      <c r="Z191" s="18" t="str">
        <f aca="false">IF(OR($C191="",$AA191="Open"),"",IF($M191&lt;&gt;"",$M191,$G191))</f>
        <v/>
      </c>
      <c r="AA191" s="12" t="str">
        <f aca="false">IF($C191="","",IF(OR($L191="Open",$L191=""),"Open","Realized"))</f>
        <v/>
      </c>
    </row>
    <row r="192" customFormat="false" ht="15" hidden="false" customHeight="false" outlineLevel="0" collapsed="false">
      <c r="A192" s="7"/>
      <c r="B192" s="9"/>
      <c r="C192" s="9"/>
      <c r="D192" s="12" t="str">
        <f aca="false">IF($C192="","",IF(OR($C192="Long call",$C192="Covered call"),"Call","Put"))</f>
        <v/>
      </c>
      <c r="E192" s="12" t="str">
        <f aca="false">IF($C192="","",IF(OR($C192="Long call",$C192="Long put"),"Buy to open","Sell to open"))</f>
        <v/>
      </c>
      <c r="F192" s="13"/>
      <c r="G192" s="7"/>
      <c r="H192" s="14"/>
      <c r="I192" s="13"/>
      <c r="J192" s="13"/>
      <c r="K192" s="13"/>
      <c r="L192" s="9"/>
      <c r="M192" s="7"/>
      <c r="N192" s="13"/>
      <c r="O192" s="15" t="str">
        <f aca="false">IF($C192="","",IF($E192="Sell to open",1,-1)*$I192*$E$2*$H192)</f>
        <v/>
      </c>
      <c r="P192" s="15" t="str">
        <f aca="false">IF($C192="","",IF($C192="Long call",$F192+$I192,IF($C192="Covered call",$J192-$I192,$F192-$I192)))</f>
        <v/>
      </c>
      <c r="Q192" s="16" t="str">
        <f aca="false">IF($C192="","",IF($AA192="Open",$B$2,IF($M192&lt;&gt;"",$M192,$G192))-$A192)</f>
        <v/>
      </c>
      <c r="R192" s="16" t="str">
        <f aca="false">IF($C192="","",IF($AA192="Open",MAX($G192-$B$2,0),""))</f>
        <v/>
      </c>
      <c r="S192" s="15" t="str">
        <f aca="false">IF(OR($C192="",$AA192="Open"),"",IF($L192="Closed",-IF($E192="Sell to open",1,-1)*$N192*$E$2*$H192,0))</f>
        <v/>
      </c>
      <c r="T192" s="15" t="str">
        <f aca="false">IF(OR($C192="",$AA192="Open"),"",$O192+$S192-$K192)</f>
        <v/>
      </c>
      <c r="U192" s="15" t="str">
        <f aca="false">IF(OR($C192="",$AA192="Open"),"",IF(AND($C192="Covered call",$L192="Assigned"),($F192-$J192)*$E$2*$H192,0))</f>
        <v/>
      </c>
      <c r="V192" s="15" t="str">
        <f aca="false">IF(OR($C192="",$AA192="Open"),"",$T192+$U192)</f>
        <v/>
      </c>
      <c r="W192" s="15" t="str">
        <f aca="false">IF($C192="","",IF(OR($C192="Long call",$C192="Long put"),$I192*$E$2*$H192,(IF($C192="Covered call",$J192,$F192)-$I192)*$E$2*$H192))</f>
        <v/>
      </c>
      <c r="X192" s="17" t="str">
        <f aca="false">IF(OR($C192="",$AA192="Open"),"",IF($W192&gt;0,$V192/$W192,""))</f>
        <v/>
      </c>
      <c r="Y192" s="17" t="str">
        <f aca="false">IF(OR($C192="",$AA192="Open"),"",IF($W192&gt;0,$X192*365/MAX($Q192,1),""))</f>
        <v/>
      </c>
      <c r="Z192" s="18" t="str">
        <f aca="false">IF(OR($C192="",$AA192="Open"),"",IF($M192&lt;&gt;"",$M192,$G192))</f>
        <v/>
      </c>
      <c r="AA192" s="12" t="str">
        <f aca="false">IF($C192="","",IF(OR($L192="Open",$L192=""),"Open","Realized"))</f>
        <v/>
      </c>
    </row>
    <row r="193" customFormat="false" ht="15" hidden="false" customHeight="false" outlineLevel="0" collapsed="false">
      <c r="A193" s="7"/>
      <c r="B193" s="9"/>
      <c r="C193" s="9"/>
      <c r="D193" s="12" t="str">
        <f aca="false">IF($C193="","",IF(OR($C193="Long call",$C193="Covered call"),"Call","Put"))</f>
        <v/>
      </c>
      <c r="E193" s="12" t="str">
        <f aca="false">IF($C193="","",IF(OR($C193="Long call",$C193="Long put"),"Buy to open","Sell to open"))</f>
        <v/>
      </c>
      <c r="F193" s="13"/>
      <c r="G193" s="7"/>
      <c r="H193" s="14"/>
      <c r="I193" s="13"/>
      <c r="J193" s="13"/>
      <c r="K193" s="13"/>
      <c r="L193" s="9"/>
      <c r="M193" s="7"/>
      <c r="N193" s="13"/>
      <c r="O193" s="15" t="str">
        <f aca="false">IF($C193="","",IF($E193="Sell to open",1,-1)*$I193*$E$2*$H193)</f>
        <v/>
      </c>
      <c r="P193" s="15" t="str">
        <f aca="false">IF($C193="","",IF($C193="Long call",$F193+$I193,IF($C193="Covered call",$J193-$I193,$F193-$I193)))</f>
        <v/>
      </c>
      <c r="Q193" s="16" t="str">
        <f aca="false">IF($C193="","",IF($AA193="Open",$B$2,IF($M193&lt;&gt;"",$M193,$G193))-$A193)</f>
        <v/>
      </c>
      <c r="R193" s="16" t="str">
        <f aca="false">IF($C193="","",IF($AA193="Open",MAX($G193-$B$2,0),""))</f>
        <v/>
      </c>
      <c r="S193" s="15" t="str">
        <f aca="false">IF(OR($C193="",$AA193="Open"),"",IF($L193="Closed",-IF($E193="Sell to open",1,-1)*$N193*$E$2*$H193,0))</f>
        <v/>
      </c>
      <c r="T193" s="15" t="str">
        <f aca="false">IF(OR($C193="",$AA193="Open"),"",$O193+$S193-$K193)</f>
        <v/>
      </c>
      <c r="U193" s="15" t="str">
        <f aca="false">IF(OR($C193="",$AA193="Open"),"",IF(AND($C193="Covered call",$L193="Assigned"),($F193-$J193)*$E$2*$H193,0))</f>
        <v/>
      </c>
      <c r="V193" s="15" t="str">
        <f aca="false">IF(OR($C193="",$AA193="Open"),"",$T193+$U193)</f>
        <v/>
      </c>
      <c r="W193" s="15" t="str">
        <f aca="false">IF($C193="","",IF(OR($C193="Long call",$C193="Long put"),$I193*$E$2*$H193,(IF($C193="Covered call",$J193,$F193)-$I193)*$E$2*$H193))</f>
        <v/>
      </c>
      <c r="X193" s="17" t="str">
        <f aca="false">IF(OR($C193="",$AA193="Open"),"",IF($W193&gt;0,$V193/$W193,""))</f>
        <v/>
      </c>
      <c r="Y193" s="17" t="str">
        <f aca="false">IF(OR($C193="",$AA193="Open"),"",IF($W193&gt;0,$X193*365/MAX($Q193,1),""))</f>
        <v/>
      </c>
      <c r="Z193" s="18" t="str">
        <f aca="false">IF(OR($C193="",$AA193="Open"),"",IF($M193&lt;&gt;"",$M193,$G193))</f>
        <v/>
      </c>
      <c r="AA193" s="12" t="str">
        <f aca="false">IF($C193="","",IF(OR($L193="Open",$L193=""),"Open","Realized"))</f>
        <v/>
      </c>
    </row>
    <row r="194" customFormat="false" ht="15" hidden="false" customHeight="false" outlineLevel="0" collapsed="false">
      <c r="A194" s="7"/>
      <c r="B194" s="9"/>
      <c r="C194" s="9"/>
      <c r="D194" s="12" t="str">
        <f aca="false">IF($C194="","",IF(OR($C194="Long call",$C194="Covered call"),"Call","Put"))</f>
        <v/>
      </c>
      <c r="E194" s="12" t="str">
        <f aca="false">IF($C194="","",IF(OR($C194="Long call",$C194="Long put"),"Buy to open","Sell to open"))</f>
        <v/>
      </c>
      <c r="F194" s="13"/>
      <c r="G194" s="7"/>
      <c r="H194" s="14"/>
      <c r="I194" s="13"/>
      <c r="J194" s="13"/>
      <c r="K194" s="13"/>
      <c r="L194" s="9"/>
      <c r="M194" s="7"/>
      <c r="N194" s="13"/>
      <c r="O194" s="15" t="str">
        <f aca="false">IF($C194="","",IF($E194="Sell to open",1,-1)*$I194*$E$2*$H194)</f>
        <v/>
      </c>
      <c r="P194" s="15" t="str">
        <f aca="false">IF($C194="","",IF($C194="Long call",$F194+$I194,IF($C194="Covered call",$J194-$I194,$F194-$I194)))</f>
        <v/>
      </c>
      <c r="Q194" s="16" t="str">
        <f aca="false">IF($C194="","",IF($AA194="Open",$B$2,IF($M194&lt;&gt;"",$M194,$G194))-$A194)</f>
        <v/>
      </c>
      <c r="R194" s="16" t="str">
        <f aca="false">IF($C194="","",IF($AA194="Open",MAX($G194-$B$2,0),""))</f>
        <v/>
      </c>
      <c r="S194" s="15" t="str">
        <f aca="false">IF(OR($C194="",$AA194="Open"),"",IF($L194="Closed",-IF($E194="Sell to open",1,-1)*$N194*$E$2*$H194,0))</f>
        <v/>
      </c>
      <c r="T194" s="15" t="str">
        <f aca="false">IF(OR($C194="",$AA194="Open"),"",$O194+$S194-$K194)</f>
        <v/>
      </c>
      <c r="U194" s="15" t="str">
        <f aca="false">IF(OR($C194="",$AA194="Open"),"",IF(AND($C194="Covered call",$L194="Assigned"),($F194-$J194)*$E$2*$H194,0))</f>
        <v/>
      </c>
      <c r="V194" s="15" t="str">
        <f aca="false">IF(OR($C194="",$AA194="Open"),"",$T194+$U194)</f>
        <v/>
      </c>
      <c r="W194" s="15" t="str">
        <f aca="false">IF($C194="","",IF(OR($C194="Long call",$C194="Long put"),$I194*$E$2*$H194,(IF($C194="Covered call",$J194,$F194)-$I194)*$E$2*$H194))</f>
        <v/>
      </c>
      <c r="X194" s="17" t="str">
        <f aca="false">IF(OR($C194="",$AA194="Open"),"",IF($W194&gt;0,$V194/$W194,""))</f>
        <v/>
      </c>
      <c r="Y194" s="17" t="str">
        <f aca="false">IF(OR($C194="",$AA194="Open"),"",IF($W194&gt;0,$X194*365/MAX($Q194,1),""))</f>
        <v/>
      </c>
      <c r="Z194" s="18" t="str">
        <f aca="false">IF(OR($C194="",$AA194="Open"),"",IF($M194&lt;&gt;"",$M194,$G194))</f>
        <v/>
      </c>
      <c r="AA194" s="12" t="str">
        <f aca="false">IF($C194="","",IF(OR($L194="Open",$L194=""),"Open","Realized"))</f>
        <v/>
      </c>
    </row>
    <row r="195" customFormat="false" ht="15" hidden="false" customHeight="false" outlineLevel="0" collapsed="false">
      <c r="A195" s="7"/>
      <c r="B195" s="9"/>
      <c r="C195" s="9"/>
      <c r="D195" s="12" t="str">
        <f aca="false">IF($C195="","",IF(OR($C195="Long call",$C195="Covered call"),"Call","Put"))</f>
        <v/>
      </c>
      <c r="E195" s="12" t="str">
        <f aca="false">IF($C195="","",IF(OR($C195="Long call",$C195="Long put"),"Buy to open","Sell to open"))</f>
        <v/>
      </c>
      <c r="F195" s="13"/>
      <c r="G195" s="7"/>
      <c r="H195" s="14"/>
      <c r="I195" s="13"/>
      <c r="J195" s="13"/>
      <c r="K195" s="13"/>
      <c r="L195" s="9"/>
      <c r="M195" s="7"/>
      <c r="N195" s="13"/>
      <c r="O195" s="15" t="str">
        <f aca="false">IF($C195="","",IF($E195="Sell to open",1,-1)*$I195*$E$2*$H195)</f>
        <v/>
      </c>
      <c r="P195" s="15" t="str">
        <f aca="false">IF($C195="","",IF($C195="Long call",$F195+$I195,IF($C195="Covered call",$J195-$I195,$F195-$I195)))</f>
        <v/>
      </c>
      <c r="Q195" s="16" t="str">
        <f aca="false">IF($C195="","",IF($AA195="Open",$B$2,IF($M195&lt;&gt;"",$M195,$G195))-$A195)</f>
        <v/>
      </c>
      <c r="R195" s="16" t="str">
        <f aca="false">IF($C195="","",IF($AA195="Open",MAX($G195-$B$2,0),""))</f>
        <v/>
      </c>
      <c r="S195" s="15" t="str">
        <f aca="false">IF(OR($C195="",$AA195="Open"),"",IF($L195="Closed",-IF($E195="Sell to open",1,-1)*$N195*$E$2*$H195,0))</f>
        <v/>
      </c>
      <c r="T195" s="15" t="str">
        <f aca="false">IF(OR($C195="",$AA195="Open"),"",$O195+$S195-$K195)</f>
        <v/>
      </c>
      <c r="U195" s="15" t="str">
        <f aca="false">IF(OR($C195="",$AA195="Open"),"",IF(AND($C195="Covered call",$L195="Assigned"),($F195-$J195)*$E$2*$H195,0))</f>
        <v/>
      </c>
      <c r="V195" s="15" t="str">
        <f aca="false">IF(OR($C195="",$AA195="Open"),"",$T195+$U195)</f>
        <v/>
      </c>
      <c r="W195" s="15" t="str">
        <f aca="false">IF($C195="","",IF(OR($C195="Long call",$C195="Long put"),$I195*$E$2*$H195,(IF($C195="Covered call",$J195,$F195)-$I195)*$E$2*$H195))</f>
        <v/>
      </c>
      <c r="X195" s="17" t="str">
        <f aca="false">IF(OR($C195="",$AA195="Open"),"",IF($W195&gt;0,$V195/$W195,""))</f>
        <v/>
      </c>
      <c r="Y195" s="17" t="str">
        <f aca="false">IF(OR($C195="",$AA195="Open"),"",IF($W195&gt;0,$X195*365/MAX($Q195,1),""))</f>
        <v/>
      </c>
      <c r="Z195" s="18" t="str">
        <f aca="false">IF(OR($C195="",$AA195="Open"),"",IF($M195&lt;&gt;"",$M195,$G195))</f>
        <v/>
      </c>
      <c r="AA195" s="12" t="str">
        <f aca="false">IF($C195="","",IF(OR($L195="Open",$L195=""),"Open","Realized"))</f>
        <v/>
      </c>
    </row>
    <row r="196" customFormat="false" ht="15" hidden="false" customHeight="false" outlineLevel="0" collapsed="false">
      <c r="A196" s="7"/>
      <c r="B196" s="9"/>
      <c r="C196" s="9"/>
      <c r="D196" s="12" t="str">
        <f aca="false">IF($C196="","",IF(OR($C196="Long call",$C196="Covered call"),"Call","Put"))</f>
        <v/>
      </c>
      <c r="E196" s="12" t="str">
        <f aca="false">IF($C196="","",IF(OR($C196="Long call",$C196="Long put"),"Buy to open","Sell to open"))</f>
        <v/>
      </c>
      <c r="F196" s="13"/>
      <c r="G196" s="7"/>
      <c r="H196" s="14"/>
      <c r="I196" s="13"/>
      <c r="J196" s="13"/>
      <c r="K196" s="13"/>
      <c r="L196" s="9"/>
      <c r="M196" s="7"/>
      <c r="N196" s="13"/>
      <c r="O196" s="15" t="str">
        <f aca="false">IF($C196="","",IF($E196="Sell to open",1,-1)*$I196*$E$2*$H196)</f>
        <v/>
      </c>
      <c r="P196" s="15" t="str">
        <f aca="false">IF($C196="","",IF($C196="Long call",$F196+$I196,IF($C196="Covered call",$J196-$I196,$F196-$I196)))</f>
        <v/>
      </c>
      <c r="Q196" s="16" t="str">
        <f aca="false">IF($C196="","",IF($AA196="Open",$B$2,IF($M196&lt;&gt;"",$M196,$G196))-$A196)</f>
        <v/>
      </c>
      <c r="R196" s="16" t="str">
        <f aca="false">IF($C196="","",IF($AA196="Open",MAX($G196-$B$2,0),""))</f>
        <v/>
      </c>
      <c r="S196" s="15" t="str">
        <f aca="false">IF(OR($C196="",$AA196="Open"),"",IF($L196="Closed",-IF($E196="Sell to open",1,-1)*$N196*$E$2*$H196,0))</f>
        <v/>
      </c>
      <c r="T196" s="15" t="str">
        <f aca="false">IF(OR($C196="",$AA196="Open"),"",$O196+$S196-$K196)</f>
        <v/>
      </c>
      <c r="U196" s="15" t="str">
        <f aca="false">IF(OR($C196="",$AA196="Open"),"",IF(AND($C196="Covered call",$L196="Assigned"),($F196-$J196)*$E$2*$H196,0))</f>
        <v/>
      </c>
      <c r="V196" s="15" t="str">
        <f aca="false">IF(OR($C196="",$AA196="Open"),"",$T196+$U196)</f>
        <v/>
      </c>
      <c r="W196" s="15" t="str">
        <f aca="false">IF($C196="","",IF(OR($C196="Long call",$C196="Long put"),$I196*$E$2*$H196,(IF($C196="Covered call",$J196,$F196)-$I196)*$E$2*$H196))</f>
        <v/>
      </c>
      <c r="X196" s="17" t="str">
        <f aca="false">IF(OR($C196="",$AA196="Open"),"",IF($W196&gt;0,$V196/$W196,""))</f>
        <v/>
      </c>
      <c r="Y196" s="17" t="str">
        <f aca="false">IF(OR($C196="",$AA196="Open"),"",IF($W196&gt;0,$X196*365/MAX($Q196,1),""))</f>
        <v/>
      </c>
      <c r="Z196" s="18" t="str">
        <f aca="false">IF(OR($C196="",$AA196="Open"),"",IF($M196&lt;&gt;"",$M196,$G196))</f>
        <v/>
      </c>
      <c r="AA196" s="12" t="str">
        <f aca="false">IF($C196="","",IF(OR($L196="Open",$L196=""),"Open","Realized"))</f>
        <v/>
      </c>
    </row>
    <row r="197" customFormat="false" ht="15" hidden="false" customHeight="false" outlineLevel="0" collapsed="false">
      <c r="A197" s="7"/>
      <c r="B197" s="9"/>
      <c r="C197" s="9"/>
      <c r="D197" s="12" t="str">
        <f aca="false">IF($C197="","",IF(OR($C197="Long call",$C197="Covered call"),"Call","Put"))</f>
        <v/>
      </c>
      <c r="E197" s="12" t="str">
        <f aca="false">IF($C197="","",IF(OR($C197="Long call",$C197="Long put"),"Buy to open","Sell to open"))</f>
        <v/>
      </c>
      <c r="F197" s="13"/>
      <c r="G197" s="7"/>
      <c r="H197" s="14"/>
      <c r="I197" s="13"/>
      <c r="J197" s="13"/>
      <c r="K197" s="13"/>
      <c r="L197" s="9"/>
      <c r="M197" s="7"/>
      <c r="N197" s="13"/>
      <c r="O197" s="15" t="str">
        <f aca="false">IF($C197="","",IF($E197="Sell to open",1,-1)*$I197*$E$2*$H197)</f>
        <v/>
      </c>
      <c r="P197" s="15" t="str">
        <f aca="false">IF($C197="","",IF($C197="Long call",$F197+$I197,IF($C197="Covered call",$J197-$I197,$F197-$I197)))</f>
        <v/>
      </c>
      <c r="Q197" s="16" t="str">
        <f aca="false">IF($C197="","",IF($AA197="Open",$B$2,IF($M197&lt;&gt;"",$M197,$G197))-$A197)</f>
        <v/>
      </c>
      <c r="R197" s="16" t="str">
        <f aca="false">IF($C197="","",IF($AA197="Open",MAX($G197-$B$2,0),""))</f>
        <v/>
      </c>
      <c r="S197" s="15" t="str">
        <f aca="false">IF(OR($C197="",$AA197="Open"),"",IF($L197="Closed",-IF($E197="Sell to open",1,-1)*$N197*$E$2*$H197,0))</f>
        <v/>
      </c>
      <c r="T197" s="15" t="str">
        <f aca="false">IF(OR($C197="",$AA197="Open"),"",$O197+$S197-$K197)</f>
        <v/>
      </c>
      <c r="U197" s="15" t="str">
        <f aca="false">IF(OR($C197="",$AA197="Open"),"",IF(AND($C197="Covered call",$L197="Assigned"),($F197-$J197)*$E$2*$H197,0))</f>
        <v/>
      </c>
      <c r="V197" s="15" t="str">
        <f aca="false">IF(OR($C197="",$AA197="Open"),"",$T197+$U197)</f>
        <v/>
      </c>
      <c r="W197" s="15" t="str">
        <f aca="false">IF($C197="","",IF(OR($C197="Long call",$C197="Long put"),$I197*$E$2*$H197,(IF($C197="Covered call",$J197,$F197)-$I197)*$E$2*$H197))</f>
        <v/>
      </c>
      <c r="X197" s="17" t="str">
        <f aca="false">IF(OR($C197="",$AA197="Open"),"",IF($W197&gt;0,$V197/$W197,""))</f>
        <v/>
      </c>
      <c r="Y197" s="17" t="str">
        <f aca="false">IF(OR($C197="",$AA197="Open"),"",IF($W197&gt;0,$X197*365/MAX($Q197,1),""))</f>
        <v/>
      </c>
      <c r="Z197" s="18" t="str">
        <f aca="false">IF(OR($C197="",$AA197="Open"),"",IF($M197&lt;&gt;"",$M197,$G197))</f>
        <v/>
      </c>
      <c r="AA197" s="12" t="str">
        <f aca="false">IF($C197="","",IF(OR($L197="Open",$L197=""),"Open","Realized"))</f>
        <v/>
      </c>
    </row>
    <row r="198" customFormat="false" ht="15" hidden="false" customHeight="false" outlineLevel="0" collapsed="false">
      <c r="A198" s="7"/>
      <c r="B198" s="9"/>
      <c r="C198" s="9"/>
      <c r="D198" s="12" t="str">
        <f aca="false">IF($C198="","",IF(OR($C198="Long call",$C198="Covered call"),"Call","Put"))</f>
        <v/>
      </c>
      <c r="E198" s="12" t="str">
        <f aca="false">IF($C198="","",IF(OR($C198="Long call",$C198="Long put"),"Buy to open","Sell to open"))</f>
        <v/>
      </c>
      <c r="F198" s="13"/>
      <c r="G198" s="7"/>
      <c r="H198" s="14"/>
      <c r="I198" s="13"/>
      <c r="J198" s="13"/>
      <c r="K198" s="13"/>
      <c r="L198" s="9"/>
      <c r="M198" s="7"/>
      <c r="N198" s="13"/>
      <c r="O198" s="15" t="str">
        <f aca="false">IF($C198="","",IF($E198="Sell to open",1,-1)*$I198*$E$2*$H198)</f>
        <v/>
      </c>
      <c r="P198" s="15" t="str">
        <f aca="false">IF($C198="","",IF($C198="Long call",$F198+$I198,IF($C198="Covered call",$J198-$I198,$F198-$I198)))</f>
        <v/>
      </c>
      <c r="Q198" s="16" t="str">
        <f aca="false">IF($C198="","",IF($AA198="Open",$B$2,IF($M198&lt;&gt;"",$M198,$G198))-$A198)</f>
        <v/>
      </c>
      <c r="R198" s="16" t="str">
        <f aca="false">IF($C198="","",IF($AA198="Open",MAX($G198-$B$2,0),""))</f>
        <v/>
      </c>
      <c r="S198" s="15" t="str">
        <f aca="false">IF(OR($C198="",$AA198="Open"),"",IF($L198="Closed",-IF($E198="Sell to open",1,-1)*$N198*$E$2*$H198,0))</f>
        <v/>
      </c>
      <c r="T198" s="15" t="str">
        <f aca="false">IF(OR($C198="",$AA198="Open"),"",$O198+$S198-$K198)</f>
        <v/>
      </c>
      <c r="U198" s="15" t="str">
        <f aca="false">IF(OR($C198="",$AA198="Open"),"",IF(AND($C198="Covered call",$L198="Assigned"),($F198-$J198)*$E$2*$H198,0))</f>
        <v/>
      </c>
      <c r="V198" s="15" t="str">
        <f aca="false">IF(OR($C198="",$AA198="Open"),"",$T198+$U198)</f>
        <v/>
      </c>
      <c r="W198" s="15" t="str">
        <f aca="false">IF($C198="","",IF(OR($C198="Long call",$C198="Long put"),$I198*$E$2*$H198,(IF($C198="Covered call",$J198,$F198)-$I198)*$E$2*$H198))</f>
        <v/>
      </c>
      <c r="X198" s="17" t="str">
        <f aca="false">IF(OR($C198="",$AA198="Open"),"",IF($W198&gt;0,$V198/$W198,""))</f>
        <v/>
      </c>
      <c r="Y198" s="17" t="str">
        <f aca="false">IF(OR($C198="",$AA198="Open"),"",IF($W198&gt;0,$X198*365/MAX($Q198,1),""))</f>
        <v/>
      </c>
      <c r="Z198" s="18" t="str">
        <f aca="false">IF(OR($C198="",$AA198="Open"),"",IF($M198&lt;&gt;"",$M198,$G198))</f>
        <v/>
      </c>
      <c r="AA198" s="12" t="str">
        <f aca="false">IF($C198="","",IF(OR($L198="Open",$L198=""),"Open","Realized"))</f>
        <v/>
      </c>
    </row>
    <row r="199" customFormat="false" ht="15" hidden="false" customHeight="false" outlineLevel="0" collapsed="false">
      <c r="A199" s="7"/>
      <c r="B199" s="9"/>
      <c r="C199" s="9"/>
      <c r="D199" s="12" t="str">
        <f aca="false">IF($C199="","",IF(OR($C199="Long call",$C199="Covered call"),"Call","Put"))</f>
        <v/>
      </c>
      <c r="E199" s="12" t="str">
        <f aca="false">IF($C199="","",IF(OR($C199="Long call",$C199="Long put"),"Buy to open","Sell to open"))</f>
        <v/>
      </c>
      <c r="F199" s="13"/>
      <c r="G199" s="7"/>
      <c r="H199" s="14"/>
      <c r="I199" s="13"/>
      <c r="J199" s="13"/>
      <c r="K199" s="13"/>
      <c r="L199" s="9"/>
      <c r="M199" s="7"/>
      <c r="N199" s="13"/>
      <c r="O199" s="15" t="str">
        <f aca="false">IF($C199="","",IF($E199="Sell to open",1,-1)*$I199*$E$2*$H199)</f>
        <v/>
      </c>
      <c r="P199" s="15" t="str">
        <f aca="false">IF($C199="","",IF($C199="Long call",$F199+$I199,IF($C199="Covered call",$J199-$I199,$F199-$I199)))</f>
        <v/>
      </c>
      <c r="Q199" s="16" t="str">
        <f aca="false">IF($C199="","",IF($AA199="Open",$B$2,IF($M199&lt;&gt;"",$M199,$G199))-$A199)</f>
        <v/>
      </c>
      <c r="R199" s="16" t="str">
        <f aca="false">IF($C199="","",IF($AA199="Open",MAX($G199-$B$2,0),""))</f>
        <v/>
      </c>
      <c r="S199" s="15" t="str">
        <f aca="false">IF(OR($C199="",$AA199="Open"),"",IF($L199="Closed",-IF($E199="Sell to open",1,-1)*$N199*$E$2*$H199,0))</f>
        <v/>
      </c>
      <c r="T199" s="15" t="str">
        <f aca="false">IF(OR($C199="",$AA199="Open"),"",$O199+$S199-$K199)</f>
        <v/>
      </c>
      <c r="U199" s="15" t="str">
        <f aca="false">IF(OR($C199="",$AA199="Open"),"",IF(AND($C199="Covered call",$L199="Assigned"),($F199-$J199)*$E$2*$H199,0))</f>
        <v/>
      </c>
      <c r="V199" s="15" t="str">
        <f aca="false">IF(OR($C199="",$AA199="Open"),"",$T199+$U199)</f>
        <v/>
      </c>
      <c r="W199" s="15" t="str">
        <f aca="false">IF($C199="","",IF(OR($C199="Long call",$C199="Long put"),$I199*$E$2*$H199,(IF($C199="Covered call",$J199,$F199)-$I199)*$E$2*$H199))</f>
        <v/>
      </c>
      <c r="X199" s="17" t="str">
        <f aca="false">IF(OR($C199="",$AA199="Open"),"",IF($W199&gt;0,$V199/$W199,""))</f>
        <v/>
      </c>
      <c r="Y199" s="17" t="str">
        <f aca="false">IF(OR($C199="",$AA199="Open"),"",IF($W199&gt;0,$X199*365/MAX($Q199,1),""))</f>
        <v/>
      </c>
      <c r="Z199" s="18" t="str">
        <f aca="false">IF(OR($C199="",$AA199="Open"),"",IF($M199&lt;&gt;"",$M199,$G199))</f>
        <v/>
      </c>
      <c r="AA199" s="12" t="str">
        <f aca="false">IF($C199="","",IF(OR($L199="Open",$L199=""),"Open","Realized"))</f>
        <v/>
      </c>
    </row>
    <row r="200" customFormat="false" ht="15" hidden="false" customHeight="false" outlineLevel="0" collapsed="false">
      <c r="A200" s="7"/>
      <c r="B200" s="9"/>
      <c r="C200" s="9"/>
      <c r="D200" s="12" t="str">
        <f aca="false">IF($C200="","",IF(OR($C200="Long call",$C200="Covered call"),"Call","Put"))</f>
        <v/>
      </c>
      <c r="E200" s="12" t="str">
        <f aca="false">IF($C200="","",IF(OR($C200="Long call",$C200="Long put"),"Buy to open","Sell to open"))</f>
        <v/>
      </c>
      <c r="F200" s="13"/>
      <c r="G200" s="7"/>
      <c r="H200" s="14"/>
      <c r="I200" s="13"/>
      <c r="J200" s="13"/>
      <c r="K200" s="13"/>
      <c r="L200" s="9"/>
      <c r="M200" s="7"/>
      <c r="N200" s="13"/>
      <c r="O200" s="15" t="str">
        <f aca="false">IF($C200="","",IF($E200="Sell to open",1,-1)*$I200*$E$2*$H200)</f>
        <v/>
      </c>
      <c r="P200" s="15" t="str">
        <f aca="false">IF($C200="","",IF($C200="Long call",$F200+$I200,IF($C200="Covered call",$J200-$I200,$F200-$I200)))</f>
        <v/>
      </c>
      <c r="Q200" s="16" t="str">
        <f aca="false">IF($C200="","",IF($AA200="Open",$B$2,IF($M200&lt;&gt;"",$M200,$G200))-$A200)</f>
        <v/>
      </c>
      <c r="R200" s="16" t="str">
        <f aca="false">IF($C200="","",IF($AA200="Open",MAX($G200-$B$2,0),""))</f>
        <v/>
      </c>
      <c r="S200" s="15" t="str">
        <f aca="false">IF(OR($C200="",$AA200="Open"),"",IF($L200="Closed",-IF($E200="Sell to open",1,-1)*$N200*$E$2*$H200,0))</f>
        <v/>
      </c>
      <c r="T200" s="15" t="str">
        <f aca="false">IF(OR($C200="",$AA200="Open"),"",$O200+$S200-$K200)</f>
        <v/>
      </c>
      <c r="U200" s="15" t="str">
        <f aca="false">IF(OR($C200="",$AA200="Open"),"",IF(AND($C200="Covered call",$L200="Assigned"),($F200-$J200)*$E$2*$H200,0))</f>
        <v/>
      </c>
      <c r="V200" s="15" t="str">
        <f aca="false">IF(OR($C200="",$AA200="Open"),"",$T200+$U200)</f>
        <v/>
      </c>
      <c r="W200" s="15" t="str">
        <f aca="false">IF($C200="","",IF(OR($C200="Long call",$C200="Long put"),$I200*$E$2*$H200,(IF($C200="Covered call",$J200,$F200)-$I200)*$E$2*$H200))</f>
        <v/>
      </c>
      <c r="X200" s="17" t="str">
        <f aca="false">IF(OR($C200="",$AA200="Open"),"",IF($W200&gt;0,$V200/$W200,""))</f>
        <v/>
      </c>
      <c r="Y200" s="17" t="str">
        <f aca="false">IF(OR($C200="",$AA200="Open"),"",IF($W200&gt;0,$X200*365/MAX($Q200,1),""))</f>
        <v/>
      </c>
      <c r="Z200" s="18" t="str">
        <f aca="false">IF(OR($C200="",$AA200="Open"),"",IF($M200&lt;&gt;"",$M200,$G200))</f>
        <v/>
      </c>
      <c r="AA200" s="12" t="str">
        <f aca="false">IF($C200="","",IF(OR($L200="Open",$L200=""),"Open","Realized"))</f>
        <v/>
      </c>
    </row>
    <row r="201" customFormat="false" ht="15" hidden="false" customHeight="false" outlineLevel="0" collapsed="false">
      <c r="A201" s="7"/>
      <c r="B201" s="9"/>
      <c r="C201" s="9"/>
      <c r="D201" s="12" t="str">
        <f aca="false">IF($C201="","",IF(OR($C201="Long call",$C201="Covered call"),"Call","Put"))</f>
        <v/>
      </c>
      <c r="E201" s="12" t="str">
        <f aca="false">IF($C201="","",IF(OR($C201="Long call",$C201="Long put"),"Buy to open","Sell to open"))</f>
        <v/>
      </c>
      <c r="F201" s="13"/>
      <c r="G201" s="7"/>
      <c r="H201" s="14"/>
      <c r="I201" s="13"/>
      <c r="J201" s="13"/>
      <c r="K201" s="13"/>
      <c r="L201" s="9"/>
      <c r="M201" s="7"/>
      <c r="N201" s="13"/>
      <c r="O201" s="15" t="str">
        <f aca="false">IF($C201="","",IF($E201="Sell to open",1,-1)*$I201*$E$2*$H201)</f>
        <v/>
      </c>
      <c r="P201" s="15" t="str">
        <f aca="false">IF($C201="","",IF($C201="Long call",$F201+$I201,IF($C201="Covered call",$J201-$I201,$F201-$I201)))</f>
        <v/>
      </c>
      <c r="Q201" s="16" t="str">
        <f aca="false">IF($C201="","",IF($AA201="Open",$B$2,IF($M201&lt;&gt;"",$M201,$G201))-$A201)</f>
        <v/>
      </c>
      <c r="R201" s="16" t="str">
        <f aca="false">IF($C201="","",IF($AA201="Open",MAX($G201-$B$2,0),""))</f>
        <v/>
      </c>
      <c r="S201" s="15" t="str">
        <f aca="false">IF(OR($C201="",$AA201="Open"),"",IF($L201="Closed",-IF($E201="Sell to open",1,-1)*$N201*$E$2*$H201,0))</f>
        <v/>
      </c>
      <c r="T201" s="15" t="str">
        <f aca="false">IF(OR($C201="",$AA201="Open"),"",$O201+$S201-$K201)</f>
        <v/>
      </c>
      <c r="U201" s="15" t="str">
        <f aca="false">IF(OR($C201="",$AA201="Open"),"",IF(AND($C201="Covered call",$L201="Assigned"),($F201-$J201)*$E$2*$H201,0))</f>
        <v/>
      </c>
      <c r="V201" s="15" t="str">
        <f aca="false">IF(OR($C201="",$AA201="Open"),"",$T201+$U201)</f>
        <v/>
      </c>
      <c r="W201" s="15" t="str">
        <f aca="false">IF($C201="","",IF(OR($C201="Long call",$C201="Long put"),$I201*$E$2*$H201,(IF($C201="Covered call",$J201,$F201)-$I201)*$E$2*$H201))</f>
        <v/>
      </c>
      <c r="X201" s="17" t="str">
        <f aca="false">IF(OR($C201="",$AA201="Open"),"",IF($W201&gt;0,$V201/$W201,""))</f>
        <v/>
      </c>
      <c r="Y201" s="17" t="str">
        <f aca="false">IF(OR($C201="",$AA201="Open"),"",IF($W201&gt;0,$X201*365/MAX($Q201,1),""))</f>
        <v/>
      </c>
      <c r="Z201" s="18" t="str">
        <f aca="false">IF(OR($C201="",$AA201="Open"),"",IF($M201&lt;&gt;"",$M201,$G201))</f>
        <v/>
      </c>
      <c r="AA201" s="12" t="str">
        <f aca="false">IF($C201="","",IF(OR($L201="Open",$L201=""),"Open","Realized"))</f>
        <v/>
      </c>
    </row>
    <row r="202" customFormat="false" ht="15" hidden="false" customHeight="false" outlineLevel="0" collapsed="false">
      <c r="A202" s="7"/>
      <c r="B202" s="9"/>
      <c r="C202" s="9"/>
      <c r="D202" s="12" t="str">
        <f aca="false">IF($C202="","",IF(OR($C202="Long call",$C202="Covered call"),"Call","Put"))</f>
        <v/>
      </c>
      <c r="E202" s="12" t="str">
        <f aca="false">IF($C202="","",IF(OR($C202="Long call",$C202="Long put"),"Buy to open","Sell to open"))</f>
        <v/>
      </c>
      <c r="F202" s="13"/>
      <c r="G202" s="7"/>
      <c r="H202" s="14"/>
      <c r="I202" s="13"/>
      <c r="J202" s="13"/>
      <c r="K202" s="13"/>
      <c r="L202" s="9"/>
      <c r="M202" s="7"/>
      <c r="N202" s="13"/>
      <c r="O202" s="15" t="str">
        <f aca="false">IF($C202="","",IF($E202="Sell to open",1,-1)*$I202*$E$2*$H202)</f>
        <v/>
      </c>
      <c r="P202" s="15" t="str">
        <f aca="false">IF($C202="","",IF($C202="Long call",$F202+$I202,IF($C202="Covered call",$J202-$I202,$F202-$I202)))</f>
        <v/>
      </c>
      <c r="Q202" s="16" t="str">
        <f aca="false">IF($C202="","",IF($AA202="Open",$B$2,IF($M202&lt;&gt;"",$M202,$G202))-$A202)</f>
        <v/>
      </c>
      <c r="R202" s="16" t="str">
        <f aca="false">IF($C202="","",IF($AA202="Open",MAX($G202-$B$2,0),""))</f>
        <v/>
      </c>
      <c r="S202" s="15" t="str">
        <f aca="false">IF(OR($C202="",$AA202="Open"),"",IF($L202="Closed",-IF($E202="Sell to open",1,-1)*$N202*$E$2*$H202,0))</f>
        <v/>
      </c>
      <c r="T202" s="15" t="str">
        <f aca="false">IF(OR($C202="",$AA202="Open"),"",$O202+$S202-$K202)</f>
        <v/>
      </c>
      <c r="U202" s="15" t="str">
        <f aca="false">IF(OR($C202="",$AA202="Open"),"",IF(AND($C202="Covered call",$L202="Assigned"),($F202-$J202)*$E$2*$H202,0))</f>
        <v/>
      </c>
      <c r="V202" s="15" t="str">
        <f aca="false">IF(OR($C202="",$AA202="Open"),"",$T202+$U202)</f>
        <v/>
      </c>
      <c r="W202" s="15" t="str">
        <f aca="false">IF($C202="","",IF(OR($C202="Long call",$C202="Long put"),$I202*$E$2*$H202,(IF($C202="Covered call",$J202,$F202)-$I202)*$E$2*$H202))</f>
        <v/>
      </c>
      <c r="X202" s="17" t="str">
        <f aca="false">IF(OR($C202="",$AA202="Open"),"",IF($W202&gt;0,$V202/$W202,""))</f>
        <v/>
      </c>
      <c r="Y202" s="17" t="str">
        <f aca="false">IF(OR($C202="",$AA202="Open"),"",IF($W202&gt;0,$X202*365/MAX($Q202,1),""))</f>
        <v/>
      </c>
      <c r="Z202" s="18" t="str">
        <f aca="false">IF(OR($C202="",$AA202="Open"),"",IF($M202&lt;&gt;"",$M202,$G202))</f>
        <v/>
      </c>
      <c r="AA202" s="12" t="str">
        <f aca="false">IF($C202="","",IF(OR($L202="Open",$L202=""),"Open","Realized"))</f>
        <v/>
      </c>
    </row>
    <row r="203" customFormat="false" ht="15" hidden="false" customHeight="false" outlineLevel="0" collapsed="false">
      <c r="A203" s="7"/>
      <c r="B203" s="9"/>
      <c r="C203" s="9"/>
      <c r="D203" s="12" t="str">
        <f aca="false">IF($C203="","",IF(OR($C203="Long call",$C203="Covered call"),"Call","Put"))</f>
        <v/>
      </c>
      <c r="E203" s="12" t="str">
        <f aca="false">IF($C203="","",IF(OR($C203="Long call",$C203="Long put"),"Buy to open","Sell to open"))</f>
        <v/>
      </c>
      <c r="F203" s="13"/>
      <c r="G203" s="7"/>
      <c r="H203" s="14"/>
      <c r="I203" s="13"/>
      <c r="J203" s="13"/>
      <c r="K203" s="13"/>
      <c r="L203" s="9"/>
      <c r="M203" s="7"/>
      <c r="N203" s="13"/>
      <c r="O203" s="15" t="str">
        <f aca="false">IF($C203="","",IF($E203="Sell to open",1,-1)*$I203*$E$2*$H203)</f>
        <v/>
      </c>
      <c r="P203" s="15" t="str">
        <f aca="false">IF($C203="","",IF($C203="Long call",$F203+$I203,IF($C203="Covered call",$J203-$I203,$F203-$I203)))</f>
        <v/>
      </c>
      <c r="Q203" s="16" t="str">
        <f aca="false">IF($C203="","",IF($AA203="Open",$B$2,IF($M203&lt;&gt;"",$M203,$G203))-$A203)</f>
        <v/>
      </c>
      <c r="R203" s="16" t="str">
        <f aca="false">IF($C203="","",IF($AA203="Open",MAX($G203-$B$2,0),""))</f>
        <v/>
      </c>
      <c r="S203" s="15" t="str">
        <f aca="false">IF(OR($C203="",$AA203="Open"),"",IF($L203="Closed",-IF($E203="Sell to open",1,-1)*$N203*$E$2*$H203,0))</f>
        <v/>
      </c>
      <c r="T203" s="15" t="str">
        <f aca="false">IF(OR($C203="",$AA203="Open"),"",$O203+$S203-$K203)</f>
        <v/>
      </c>
      <c r="U203" s="15" t="str">
        <f aca="false">IF(OR($C203="",$AA203="Open"),"",IF(AND($C203="Covered call",$L203="Assigned"),($F203-$J203)*$E$2*$H203,0))</f>
        <v/>
      </c>
      <c r="V203" s="15" t="str">
        <f aca="false">IF(OR($C203="",$AA203="Open"),"",$T203+$U203)</f>
        <v/>
      </c>
      <c r="W203" s="15" t="str">
        <f aca="false">IF($C203="","",IF(OR($C203="Long call",$C203="Long put"),$I203*$E$2*$H203,(IF($C203="Covered call",$J203,$F203)-$I203)*$E$2*$H203))</f>
        <v/>
      </c>
      <c r="X203" s="17" t="str">
        <f aca="false">IF(OR($C203="",$AA203="Open"),"",IF($W203&gt;0,$V203/$W203,""))</f>
        <v/>
      </c>
      <c r="Y203" s="17" t="str">
        <f aca="false">IF(OR($C203="",$AA203="Open"),"",IF($W203&gt;0,$X203*365/MAX($Q203,1),""))</f>
        <v/>
      </c>
      <c r="Z203" s="18" t="str">
        <f aca="false">IF(OR($C203="",$AA203="Open"),"",IF($M203&lt;&gt;"",$M203,$G203))</f>
        <v/>
      </c>
      <c r="AA203" s="12" t="str">
        <f aca="false">IF($C203="","",IF(OR($L203="Open",$L203=""),"Open","Realized"))</f>
        <v/>
      </c>
    </row>
    <row r="204" customFormat="false" ht="15" hidden="false" customHeight="false" outlineLevel="0" collapsed="false">
      <c r="A204" s="7"/>
      <c r="B204" s="9"/>
      <c r="C204" s="9"/>
      <c r="D204" s="12" t="str">
        <f aca="false">IF($C204="","",IF(OR($C204="Long call",$C204="Covered call"),"Call","Put"))</f>
        <v/>
      </c>
      <c r="E204" s="12" t="str">
        <f aca="false">IF($C204="","",IF(OR($C204="Long call",$C204="Long put"),"Buy to open","Sell to open"))</f>
        <v/>
      </c>
      <c r="F204" s="13"/>
      <c r="G204" s="7"/>
      <c r="H204" s="14"/>
      <c r="I204" s="13"/>
      <c r="J204" s="13"/>
      <c r="K204" s="13"/>
      <c r="L204" s="9"/>
      <c r="M204" s="7"/>
      <c r="N204" s="13"/>
      <c r="O204" s="15" t="str">
        <f aca="false">IF($C204="","",IF($E204="Sell to open",1,-1)*$I204*$E$2*$H204)</f>
        <v/>
      </c>
      <c r="P204" s="15" t="str">
        <f aca="false">IF($C204="","",IF($C204="Long call",$F204+$I204,IF($C204="Covered call",$J204-$I204,$F204-$I204)))</f>
        <v/>
      </c>
      <c r="Q204" s="16" t="str">
        <f aca="false">IF($C204="","",IF($AA204="Open",$B$2,IF($M204&lt;&gt;"",$M204,$G204))-$A204)</f>
        <v/>
      </c>
      <c r="R204" s="16" t="str">
        <f aca="false">IF($C204="","",IF($AA204="Open",MAX($G204-$B$2,0),""))</f>
        <v/>
      </c>
      <c r="S204" s="15" t="str">
        <f aca="false">IF(OR($C204="",$AA204="Open"),"",IF($L204="Closed",-IF($E204="Sell to open",1,-1)*$N204*$E$2*$H204,0))</f>
        <v/>
      </c>
      <c r="T204" s="15" t="str">
        <f aca="false">IF(OR($C204="",$AA204="Open"),"",$O204+$S204-$K204)</f>
        <v/>
      </c>
      <c r="U204" s="15" t="str">
        <f aca="false">IF(OR($C204="",$AA204="Open"),"",IF(AND($C204="Covered call",$L204="Assigned"),($F204-$J204)*$E$2*$H204,0))</f>
        <v/>
      </c>
      <c r="V204" s="15" t="str">
        <f aca="false">IF(OR($C204="",$AA204="Open"),"",$T204+$U204)</f>
        <v/>
      </c>
      <c r="W204" s="15" t="str">
        <f aca="false">IF($C204="","",IF(OR($C204="Long call",$C204="Long put"),$I204*$E$2*$H204,(IF($C204="Covered call",$J204,$F204)-$I204)*$E$2*$H204))</f>
        <v/>
      </c>
      <c r="X204" s="17" t="str">
        <f aca="false">IF(OR($C204="",$AA204="Open"),"",IF($W204&gt;0,$V204/$W204,""))</f>
        <v/>
      </c>
      <c r="Y204" s="17" t="str">
        <f aca="false">IF(OR($C204="",$AA204="Open"),"",IF($W204&gt;0,$X204*365/MAX($Q204,1),""))</f>
        <v/>
      </c>
      <c r="Z204" s="18" t="str">
        <f aca="false">IF(OR($C204="",$AA204="Open"),"",IF($M204&lt;&gt;"",$M204,$G204))</f>
        <v/>
      </c>
      <c r="AA204" s="12" t="str">
        <f aca="false">IF($C204="","",IF(OR($L204="Open",$L204=""),"Open","Realized"))</f>
        <v/>
      </c>
    </row>
  </sheetData>
  <conditionalFormatting sqref="V5:V204">
    <cfRule type="cellIs" priority="2" operator="lessThan" aboveAverage="0" equalAverage="0" bottom="0" percent="0" rank="0" text="" dxfId="0">
      <formula>0</formula>
    </cfRule>
  </conditionalFormatting>
  <dataValidations count="3">
    <dataValidation allowBlank="true" error="Pick a strategy from the list." errorStyle="stop" errorTitle="Strategy" operator="between" showDropDown="false" showErrorMessage="true" showInputMessage="false" sqref="C5:C204" type="list">
      <formula1>"Long call,Long put,Covered call,Cash-secured put"</formula1>
      <formula2>0</formula2>
    </dataValidation>
    <dataValidation allowBlank="true" error="Pick Open, Closed, Expired or Assigned." errorStyle="stop" errorTitle="Status" operator="between" showDropDown="false" showErrorMessage="true" showInputMessage="false" sqref="L5:L204" type="list">
      <formula1>"Open,Closed,Expired,Assigned"</formula1>
      <formula2>0</formula2>
    </dataValidation>
    <dataValidation allowBlank="true" error="Contracts must be a whole number above 0." errorStyle="stop" operator="greaterThan" showDropDown="false" showErrorMessage="true" showInputMessage="false" sqref="H5:H204" type="whole">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4"/>
    <col collapsed="false" customWidth="true" hidden="false" outlineLevel="0" max="3" min="3" style="0" width="11"/>
    <col collapsed="false" customWidth="true" hidden="false" outlineLevel="0" max="4" min="4" style="0" width="10"/>
    <col collapsed="false" customWidth="true" hidden="false" outlineLevel="0" max="5" min="5" style="0" width="12"/>
    <col collapsed="false" customWidth="true" hidden="false" outlineLevel="0" max="6" min="6" style="0" width="14"/>
    <col collapsed="false" customWidth="true" hidden="false" outlineLevel="0" max="7" min="7" style="0" width="13"/>
    <col collapsed="false" customWidth="true" hidden="false" outlineLevel="0" max="8" min="8" style="0" width="15"/>
    <col collapsed="false" customWidth="true" hidden="false" outlineLevel="0" max="10" min="9" style="0" width="12"/>
  </cols>
  <sheetData>
    <row r="1" customFormat="false" ht="19.7" hidden="false" customHeight="false" outlineLevel="0" collapsed="false">
      <c r="A1" s="5" t="s">
        <v>75</v>
      </c>
    </row>
    <row r="2" customFormat="false" ht="15" hidden="false" customHeight="false" outlineLevel="0" collapsed="false">
      <c r="A2" s="10" t="s">
        <v>76</v>
      </c>
    </row>
    <row r="4" customFormat="false" ht="45.75" hidden="false" customHeight="true" outlineLevel="0" collapsed="false">
      <c r="A4" s="11" t="s">
        <v>55</v>
      </c>
      <c r="B4" s="11" t="s">
        <v>77</v>
      </c>
      <c r="C4" s="11" t="s">
        <v>78</v>
      </c>
      <c r="D4" s="11" t="s">
        <v>79</v>
      </c>
      <c r="E4" s="11" t="s">
        <v>80</v>
      </c>
      <c r="F4" s="11" t="s">
        <v>72</v>
      </c>
      <c r="G4" s="11" t="s">
        <v>81</v>
      </c>
      <c r="H4" s="11" t="s">
        <v>82</v>
      </c>
      <c r="I4" s="11" t="s">
        <v>33</v>
      </c>
      <c r="J4" s="11" t="s">
        <v>83</v>
      </c>
    </row>
    <row r="5" customFormat="false" ht="15" hidden="false" customHeight="false" outlineLevel="0" collapsed="false">
      <c r="A5" s="19" t="s">
        <v>84</v>
      </c>
      <c r="B5" s="20" t="n">
        <f aca="false">COUNTIFS(Trades!$C$5:$C$204,$A5)</f>
        <v>0</v>
      </c>
      <c r="C5" s="20" t="n">
        <f aca="false">COUNTIFS(Trades!$C$5:$C$204,$A5,Trades!$AA$5:$AA$204,"Open")</f>
        <v>0</v>
      </c>
      <c r="D5" s="20" t="n">
        <f aca="false">COUNTIFS(Trades!$C$5:$C$204,$A5,Trades!$AA$5:$AA$204,"Realized")</f>
        <v>0</v>
      </c>
      <c r="E5" s="20" t="n">
        <f aca="false">COUNTIFS(Trades!$C$5:$C$204,$A5,Trades!$V$5:$V$204,"&gt;0")</f>
        <v>0</v>
      </c>
      <c r="F5" s="21" t="n">
        <f aca="false">SUMIFS(Trades!$V$5:$V$204,Trades!$C$5:$C$204,$A5)</f>
        <v>0</v>
      </c>
      <c r="G5" s="21" t="n">
        <f aca="false">SUMIFS(Trades!$K$5:$K$204,Trades!$C$5:$C$204,$A5,Trades!$AA$5:$AA$204,"Realized")</f>
        <v>0</v>
      </c>
      <c r="H5" s="21" t="n">
        <f aca="false">SUMIFS(Trades!$W$5:$W$204,Trades!$C$5:$C$204,$A5,Trades!$AA$5:$AA$204,"Realized")</f>
        <v>0</v>
      </c>
      <c r="I5" s="22" t="str">
        <f aca="false">IF(H5&gt;0,F5/H5,"")</f>
        <v/>
      </c>
      <c r="J5" s="23" t="str">
        <f aca="false">IF(D5&gt;0,SUMIFS(Trades!$Q$5:$Q$204,Trades!$C$5:$C$204,$A5,Trades!$AA$5:$AA$204,"Realized")/D5,"")</f>
        <v/>
      </c>
    </row>
    <row r="6" customFormat="false" ht="15" hidden="false" customHeight="false" outlineLevel="0" collapsed="false">
      <c r="A6" s="19" t="s">
        <v>85</v>
      </c>
      <c r="B6" s="20" t="n">
        <f aca="false">COUNTIFS(Trades!$C$5:$C$204,$A6)</f>
        <v>0</v>
      </c>
      <c r="C6" s="20" t="n">
        <f aca="false">COUNTIFS(Trades!$C$5:$C$204,$A6,Trades!$AA$5:$AA$204,"Open")</f>
        <v>0</v>
      </c>
      <c r="D6" s="20" t="n">
        <f aca="false">COUNTIFS(Trades!$C$5:$C$204,$A6,Trades!$AA$5:$AA$204,"Realized")</f>
        <v>0</v>
      </c>
      <c r="E6" s="20" t="n">
        <f aca="false">COUNTIFS(Trades!$C$5:$C$204,$A6,Trades!$V$5:$V$204,"&gt;0")</f>
        <v>0</v>
      </c>
      <c r="F6" s="21" t="n">
        <f aca="false">SUMIFS(Trades!$V$5:$V$204,Trades!$C$5:$C$204,$A6)</f>
        <v>0</v>
      </c>
      <c r="G6" s="21" t="n">
        <f aca="false">SUMIFS(Trades!$K$5:$K$204,Trades!$C$5:$C$204,$A6,Trades!$AA$5:$AA$204,"Realized")</f>
        <v>0</v>
      </c>
      <c r="H6" s="21" t="n">
        <f aca="false">SUMIFS(Trades!$W$5:$W$204,Trades!$C$5:$C$204,$A6,Trades!$AA$5:$AA$204,"Realized")</f>
        <v>0</v>
      </c>
      <c r="I6" s="22" t="str">
        <f aca="false">IF(H6&gt;0,F6/H6,"")</f>
        <v/>
      </c>
      <c r="J6" s="23" t="str">
        <f aca="false">IF(D6&gt;0,SUMIFS(Trades!$Q$5:$Q$204,Trades!$C$5:$C$204,$A6,Trades!$AA$5:$AA$204,"Realized")/D6,"")</f>
        <v/>
      </c>
    </row>
    <row r="7" customFormat="false" ht="15" hidden="false" customHeight="false" outlineLevel="0" collapsed="false">
      <c r="A7" s="19" t="s">
        <v>86</v>
      </c>
      <c r="B7" s="20" t="n">
        <f aca="false">COUNTIFS(Trades!$C$5:$C$204,$A7)</f>
        <v>0</v>
      </c>
      <c r="C7" s="20" t="n">
        <f aca="false">COUNTIFS(Trades!$C$5:$C$204,$A7,Trades!$AA$5:$AA$204,"Open")</f>
        <v>0</v>
      </c>
      <c r="D7" s="20" t="n">
        <f aca="false">COUNTIFS(Trades!$C$5:$C$204,$A7,Trades!$AA$5:$AA$204,"Realized")</f>
        <v>0</v>
      </c>
      <c r="E7" s="20" t="n">
        <f aca="false">COUNTIFS(Trades!$C$5:$C$204,$A7,Trades!$V$5:$V$204,"&gt;0")</f>
        <v>0</v>
      </c>
      <c r="F7" s="21" t="n">
        <f aca="false">SUMIFS(Trades!$V$5:$V$204,Trades!$C$5:$C$204,$A7)</f>
        <v>0</v>
      </c>
      <c r="G7" s="21" t="n">
        <f aca="false">SUMIFS(Trades!$K$5:$K$204,Trades!$C$5:$C$204,$A7,Trades!$AA$5:$AA$204,"Realized")</f>
        <v>0</v>
      </c>
      <c r="H7" s="21" t="n">
        <f aca="false">SUMIFS(Trades!$W$5:$W$204,Trades!$C$5:$C$204,$A7,Trades!$AA$5:$AA$204,"Realized")</f>
        <v>0</v>
      </c>
      <c r="I7" s="22" t="str">
        <f aca="false">IF(H7&gt;0,F7/H7,"")</f>
        <v/>
      </c>
      <c r="J7" s="23" t="str">
        <f aca="false">IF(D7&gt;0,SUMIFS(Trades!$Q$5:$Q$204,Trades!$C$5:$C$204,$A7,Trades!$AA$5:$AA$204,"Realized")/D7,"")</f>
        <v/>
      </c>
    </row>
    <row r="8" customFormat="false" ht="15" hidden="false" customHeight="false" outlineLevel="0" collapsed="false">
      <c r="A8" s="19" t="s">
        <v>87</v>
      </c>
      <c r="B8" s="20" t="n">
        <f aca="false">COUNTIFS(Trades!$C$5:$C$204,$A8)</f>
        <v>0</v>
      </c>
      <c r="C8" s="20" t="n">
        <f aca="false">COUNTIFS(Trades!$C$5:$C$204,$A8,Trades!$AA$5:$AA$204,"Open")</f>
        <v>0</v>
      </c>
      <c r="D8" s="20" t="n">
        <f aca="false">COUNTIFS(Trades!$C$5:$C$204,$A8,Trades!$AA$5:$AA$204,"Realized")</f>
        <v>0</v>
      </c>
      <c r="E8" s="20" t="n">
        <f aca="false">COUNTIFS(Trades!$C$5:$C$204,$A8,Trades!$V$5:$V$204,"&gt;0")</f>
        <v>0</v>
      </c>
      <c r="F8" s="21" t="n">
        <f aca="false">SUMIFS(Trades!$V$5:$V$204,Trades!$C$5:$C$204,$A8)</f>
        <v>0</v>
      </c>
      <c r="G8" s="21" t="n">
        <f aca="false">SUMIFS(Trades!$K$5:$K$204,Trades!$C$5:$C$204,$A8,Trades!$AA$5:$AA$204,"Realized")</f>
        <v>0</v>
      </c>
      <c r="H8" s="21" t="n">
        <f aca="false">SUMIFS(Trades!$W$5:$W$204,Trades!$C$5:$C$204,$A8,Trades!$AA$5:$AA$204,"Realized")</f>
        <v>0</v>
      </c>
      <c r="I8" s="22" t="str">
        <f aca="false">IF(H8&gt;0,F8/H8,"")</f>
        <v/>
      </c>
      <c r="J8" s="23" t="str">
        <f aca="false">IF(D8&gt;0,SUMIFS(Trades!$Q$5:$Q$204,Trades!$C$5:$C$204,$A8,Trades!$AA$5:$AA$204,"Realized")/D8,"")</f>
        <v/>
      </c>
    </row>
    <row r="9" customFormat="false" ht="15" hidden="false" customHeight="false" outlineLevel="0" collapsed="false">
      <c r="A9" s="24" t="s">
        <v>88</v>
      </c>
      <c r="B9" s="25" t="n">
        <f aca="false">SUM(B5:B8)</f>
        <v>0</v>
      </c>
      <c r="C9" s="25" t="n">
        <f aca="false">SUM(C5:C8)</f>
        <v>0</v>
      </c>
      <c r="D9" s="25" t="n">
        <f aca="false">SUM(D5:D8)</f>
        <v>0</v>
      </c>
      <c r="E9" s="25" t="n">
        <f aca="false">SUM(E5:E8)</f>
        <v>0</v>
      </c>
      <c r="F9" s="26" t="n">
        <f aca="false">SUM(F5:F8)</f>
        <v>0</v>
      </c>
      <c r="G9" s="26" t="n">
        <f aca="false">SUM(G5:G8)</f>
        <v>0</v>
      </c>
      <c r="H9" s="26" t="n">
        <f aca="false">SUM(H5:H8)</f>
        <v>0</v>
      </c>
      <c r="I9" s="27" t="str">
        <f aca="false">IF(H9&gt;0,F9/H9,"")</f>
        <v/>
      </c>
      <c r="J9" s="28" t="str">
        <f aca="false">IF(D9&gt;0,SUMIFS(Trades!$Q$5:$Q$204,Trades!$AA$5:$AA$204,"Realized")/D9,"")</f>
        <v/>
      </c>
    </row>
    <row r="11" customFormat="false" ht="16.15" hidden="false" customHeight="false" outlineLevel="0" collapsed="false">
      <c r="A11" s="29" t="s">
        <v>89</v>
      </c>
    </row>
    <row r="12" customFormat="false" ht="15" hidden="false" customHeight="false" outlineLevel="0" collapsed="false">
      <c r="A12" s="30" t="s">
        <v>90</v>
      </c>
      <c r="B12" s="30"/>
      <c r="C12" s="30"/>
      <c r="D12" s="30"/>
      <c r="E12" s="20" t="n">
        <f aca="false">COUNTIFS(Trades!$AA$5:$AA$204,"Open")</f>
        <v>0</v>
      </c>
    </row>
    <row r="13" customFormat="false" ht="15" hidden="false" customHeight="false" outlineLevel="0" collapsed="false">
      <c r="A13" s="30" t="s">
        <v>91</v>
      </c>
      <c r="B13" s="30"/>
      <c r="C13" s="30"/>
      <c r="D13" s="30"/>
      <c r="E13" s="21" t="n">
        <f aca="false">SUMIFS(Trades!$O$5:$O$204,Trades!$AA$5:$AA$204,"Open")</f>
        <v>0</v>
      </c>
    </row>
    <row r="14" customFormat="false" ht="15" hidden="false" customHeight="false" outlineLevel="0" collapsed="false">
      <c r="A14" s="30" t="s">
        <v>92</v>
      </c>
      <c r="B14" s="30"/>
      <c r="C14" s="30"/>
      <c r="D14" s="30"/>
      <c r="E14" s="21" t="n">
        <f aca="false">SUMIFS(Trades!$W$5:$W$204,Trades!$AA$5:$AA$204,"Open")</f>
        <v>0</v>
      </c>
    </row>
    <row r="15" customFormat="false" ht="15" hidden="false" customHeight="false" outlineLevel="0" collapsed="false">
      <c r="A15" s="30" t="s">
        <v>93</v>
      </c>
      <c r="B15" s="30"/>
      <c r="C15" s="30"/>
      <c r="D15" s="30"/>
      <c r="E15" s="20" t="n">
        <f aca="false">COUNTIFS(Trades!$AA$5:$AA$204,"Open",Trades!$R$5:$R$204,"&lt;=7")</f>
        <v>0</v>
      </c>
    </row>
    <row r="18" customFormat="false" ht="16.15" hidden="false" customHeight="false" outlineLevel="0" collapsed="false">
      <c r="A18" s="29" t="s">
        <v>94</v>
      </c>
    </row>
    <row r="19" customFormat="false" ht="15" hidden="false" customHeight="false" outlineLevel="0" collapsed="false">
      <c r="A19" s="6" t="s">
        <v>95</v>
      </c>
      <c r="B19" s="9" t="n">
        <v>2026</v>
      </c>
      <c r="C19" s="8" t="s">
        <v>96</v>
      </c>
    </row>
    <row r="20" customFormat="false" ht="31.5" hidden="false" customHeight="true" outlineLevel="0" collapsed="false">
      <c r="A20" s="11" t="s">
        <v>97</v>
      </c>
      <c r="B20" s="11" t="s">
        <v>72</v>
      </c>
      <c r="C20" s="11" t="s">
        <v>98</v>
      </c>
    </row>
    <row r="21" customFormat="false" ht="15" hidden="false" customHeight="false" outlineLevel="0" collapsed="false">
      <c r="A21" s="31" t="n">
        <f aca="false">DATE($B$19,1,1)</f>
        <v>46023</v>
      </c>
      <c r="B21" s="21" t="n">
        <f aca="false">SUMIFS(Trades!$V$5:$V$204,Trades!$Z$5:$Z$204,"&gt;="&amp;$A21,Trades!$Z$5:$Z$204,"&lt;"&amp;DATE($B$19,2,1))</f>
        <v>0</v>
      </c>
      <c r="C21" s="20" t="n">
        <f aca="false">COUNTIFS(Trades!$Z$5:$Z$204,"&gt;="&amp;$A21,Trades!$Z$5:$Z$204,"&lt;"&amp;DATE($B$19,2,1))</f>
        <v>0</v>
      </c>
    </row>
    <row r="22" customFormat="false" ht="15" hidden="false" customHeight="false" outlineLevel="0" collapsed="false">
      <c r="A22" s="31" t="n">
        <f aca="false">DATE($B$19,2,1)</f>
        <v>46054</v>
      </c>
      <c r="B22" s="21" t="n">
        <f aca="false">SUMIFS(Trades!$V$5:$V$204,Trades!$Z$5:$Z$204,"&gt;="&amp;$A22,Trades!$Z$5:$Z$204,"&lt;"&amp;DATE($B$19,3,1))</f>
        <v>0</v>
      </c>
      <c r="C22" s="20" t="n">
        <f aca="false">COUNTIFS(Trades!$Z$5:$Z$204,"&gt;="&amp;$A22,Trades!$Z$5:$Z$204,"&lt;"&amp;DATE($B$19,3,1))</f>
        <v>0</v>
      </c>
    </row>
    <row r="23" customFormat="false" ht="15" hidden="false" customHeight="false" outlineLevel="0" collapsed="false">
      <c r="A23" s="31" t="n">
        <f aca="false">DATE($B$19,3,1)</f>
        <v>46082</v>
      </c>
      <c r="B23" s="21" t="n">
        <f aca="false">SUMIFS(Trades!$V$5:$V$204,Trades!$Z$5:$Z$204,"&gt;="&amp;$A23,Trades!$Z$5:$Z$204,"&lt;"&amp;DATE($B$19,4,1))</f>
        <v>0</v>
      </c>
      <c r="C23" s="20" t="n">
        <f aca="false">COUNTIFS(Trades!$Z$5:$Z$204,"&gt;="&amp;$A23,Trades!$Z$5:$Z$204,"&lt;"&amp;DATE($B$19,4,1))</f>
        <v>0</v>
      </c>
    </row>
    <row r="24" customFormat="false" ht="15" hidden="false" customHeight="false" outlineLevel="0" collapsed="false">
      <c r="A24" s="31" t="n">
        <f aca="false">DATE($B$19,4,1)</f>
        <v>46113</v>
      </c>
      <c r="B24" s="21" t="n">
        <f aca="false">SUMIFS(Trades!$V$5:$V$204,Trades!$Z$5:$Z$204,"&gt;="&amp;$A24,Trades!$Z$5:$Z$204,"&lt;"&amp;DATE($B$19,5,1))</f>
        <v>0</v>
      </c>
      <c r="C24" s="20" t="n">
        <f aca="false">COUNTIFS(Trades!$Z$5:$Z$204,"&gt;="&amp;$A24,Trades!$Z$5:$Z$204,"&lt;"&amp;DATE($B$19,5,1))</f>
        <v>0</v>
      </c>
    </row>
    <row r="25" customFormat="false" ht="15" hidden="false" customHeight="false" outlineLevel="0" collapsed="false">
      <c r="A25" s="31" t="n">
        <f aca="false">DATE($B$19,5,1)</f>
        <v>46143</v>
      </c>
      <c r="B25" s="21" t="n">
        <f aca="false">SUMIFS(Trades!$V$5:$V$204,Trades!$Z$5:$Z$204,"&gt;="&amp;$A25,Trades!$Z$5:$Z$204,"&lt;"&amp;DATE($B$19,6,1))</f>
        <v>0</v>
      </c>
      <c r="C25" s="20" t="n">
        <f aca="false">COUNTIFS(Trades!$Z$5:$Z$204,"&gt;="&amp;$A25,Trades!$Z$5:$Z$204,"&lt;"&amp;DATE($B$19,6,1))</f>
        <v>0</v>
      </c>
    </row>
    <row r="26" customFormat="false" ht="15" hidden="false" customHeight="false" outlineLevel="0" collapsed="false">
      <c r="A26" s="31" t="n">
        <f aca="false">DATE($B$19,6,1)</f>
        <v>46174</v>
      </c>
      <c r="B26" s="21" t="n">
        <f aca="false">SUMIFS(Trades!$V$5:$V$204,Trades!$Z$5:$Z$204,"&gt;="&amp;$A26,Trades!$Z$5:$Z$204,"&lt;"&amp;DATE($B$19,7,1))</f>
        <v>0</v>
      </c>
      <c r="C26" s="20" t="n">
        <f aca="false">COUNTIFS(Trades!$Z$5:$Z$204,"&gt;="&amp;$A26,Trades!$Z$5:$Z$204,"&lt;"&amp;DATE($B$19,7,1))</f>
        <v>0</v>
      </c>
    </row>
    <row r="27" customFormat="false" ht="15" hidden="false" customHeight="false" outlineLevel="0" collapsed="false">
      <c r="A27" s="31" t="n">
        <f aca="false">DATE($B$19,7,1)</f>
        <v>46204</v>
      </c>
      <c r="B27" s="21" t="n">
        <f aca="false">SUMIFS(Trades!$V$5:$V$204,Trades!$Z$5:$Z$204,"&gt;="&amp;$A27,Trades!$Z$5:$Z$204,"&lt;"&amp;DATE($B$19,8,1))</f>
        <v>0</v>
      </c>
      <c r="C27" s="20" t="n">
        <f aca="false">COUNTIFS(Trades!$Z$5:$Z$204,"&gt;="&amp;$A27,Trades!$Z$5:$Z$204,"&lt;"&amp;DATE($B$19,8,1))</f>
        <v>0</v>
      </c>
    </row>
    <row r="28" customFormat="false" ht="15" hidden="false" customHeight="false" outlineLevel="0" collapsed="false">
      <c r="A28" s="31" t="n">
        <f aca="false">DATE($B$19,8,1)</f>
        <v>46235</v>
      </c>
      <c r="B28" s="21" t="n">
        <f aca="false">SUMIFS(Trades!$V$5:$V$204,Trades!$Z$5:$Z$204,"&gt;="&amp;$A28,Trades!$Z$5:$Z$204,"&lt;"&amp;DATE($B$19,9,1))</f>
        <v>0</v>
      </c>
      <c r="C28" s="20" t="n">
        <f aca="false">COUNTIFS(Trades!$Z$5:$Z$204,"&gt;="&amp;$A28,Trades!$Z$5:$Z$204,"&lt;"&amp;DATE($B$19,9,1))</f>
        <v>0</v>
      </c>
    </row>
    <row r="29" customFormat="false" ht="15" hidden="false" customHeight="false" outlineLevel="0" collapsed="false">
      <c r="A29" s="31" t="n">
        <f aca="false">DATE($B$19,9,1)</f>
        <v>46266</v>
      </c>
      <c r="B29" s="21" t="n">
        <f aca="false">SUMIFS(Trades!$V$5:$V$204,Trades!$Z$5:$Z$204,"&gt;="&amp;$A29,Trades!$Z$5:$Z$204,"&lt;"&amp;DATE($B$19,10,1))</f>
        <v>0</v>
      </c>
      <c r="C29" s="20" t="n">
        <f aca="false">COUNTIFS(Trades!$Z$5:$Z$204,"&gt;="&amp;$A29,Trades!$Z$5:$Z$204,"&lt;"&amp;DATE($B$19,10,1))</f>
        <v>0</v>
      </c>
    </row>
    <row r="30" customFormat="false" ht="15" hidden="false" customHeight="false" outlineLevel="0" collapsed="false">
      <c r="A30" s="31" t="n">
        <f aca="false">DATE($B$19,10,1)</f>
        <v>46296</v>
      </c>
      <c r="B30" s="21" t="n">
        <f aca="false">SUMIFS(Trades!$V$5:$V$204,Trades!$Z$5:$Z$204,"&gt;="&amp;$A30,Trades!$Z$5:$Z$204,"&lt;"&amp;DATE($B$19,11,1))</f>
        <v>0</v>
      </c>
      <c r="C30" s="20" t="n">
        <f aca="false">COUNTIFS(Trades!$Z$5:$Z$204,"&gt;="&amp;$A30,Trades!$Z$5:$Z$204,"&lt;"&amp;DATE($B$19,11,1))</f>
        <v>0</v>
      </c>
    </row>
    <row r="31" customFormat="false" ht="15" hidden="false" customHeight="false" outlineLevel="0" collapsed="false">
      <c r="A31" s="31" t="n">
        <f aca="false">DATE($B$19,11,1)</f>
        <v>46327</v>
      </c>
      <c r="B31" s="21" t="n">
        <f aca="false">SUMIFS(Trades!$V$5:$V$204,Trades!$Z$5:$Z$204,"&gt;="&amp;$A31,Trades!$Z$5:$Z$204,"&lt;"&amp;DATE($B$19,12,1))</f>
        <v>0</v>
      </c>
      <c r="C31" s="20" t="n">
        <f aca="false">COUNTIFS(Trades!$Z$5:$Z$204,"&gt;="&amp;$A31,Trades!$Z$5:$Z$204,"&lt;"&amp;DATE($B$19,12,1))</f>
        <v>0</v>
      </c>
    </row>
    <row r="32" customFormat="false" ht="15" hidden="false" customHeight="false" outlineLevel="0" collapsed="false">
      <c r="A32" s="31" t="n">
        <f aca="false">DATE($B$19,12,1)</f>
        <v>46357</v>
      </c>
      <c r="B32" s="21" t="n">
        <f aca="false">SUMIFS(Trades!$V$5:$V$204,Trades!$Z$5:$Z$204,"&gt;="&amp;$A32,Trades!$Z$5:$Z$204,"&lt;"&amp;DATE($B$19,13,1))</f>
        <v>0</v>
      </c>
      <c r="C32" s="20" t="n">
        <f aca="false">COUNTIFS(Trades!$Z$5:$Z$204,"&gt;="&amp;$A32,Trades!$Z$5:$Z$204,"&lt;"&amp;DATE($B$19,13,1))</f>
        <v>0</v>
      </c>
    </row>
    <row r="33" customFormat="false" ht="15" hidden="false" customHeight="false" outlineLevel="0" collapsed="false">
      <c r="A33" s="24" t="s">
        <v>88</v>
      </c>
      <c r="B33" s="26" t="n">
        <f aca="false">SUM(B21:B32)</f>
        <v>0</v>
      </c>
      <c r="C33" s="24" t="n">
        <f aca="false">SUM(C21:C32)</f>
        <v>0</v>
      </c>
    </row>
  </sheetData>
  <mergeCells count="4">
    <mergeCell ref="A12:D12"/>
    <mergeCell ref="A13:D13"/>
    <mergeCell ref="A14:D14"/>
    <mergeCell ref="A15:D1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2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9"/>
    <col collapsed="false" customWidth="true" hidden="false" outlineLevel="0" max="3" min="3" style="0" width="17"/>
    <col collapsed="false" customWidth="true" hidden="false" outlineLevel="0" max="4" min="4" style="0" width="9"/>
    <col collapsed="false" customWidth="true" hidden="false" outlineLevel="0" max="5" min="5" style="0" width="13"/>
    <col collapsed="false" customWidth="true" hidden="false" outlineLevel="0" max="6" min="6" style="0" width="10"/>
    <col collapsed="false" customWidth="true" hidden="false" outlineLevel="0" max="7" min="7" style="0" width="12"/>
    <col collapsed="false" customWidth="true" hidden="false" outlineLevel="0" max="8" min="8" style="0" width="10"/>
    <col collapsed="false" customWidth="true" hidden="false" outlineLevel="0" max="9" min="9" style="0" width="12"/>
    <col collapsed="false" customWidth="true" hidden="false" outlineLevel="0" max="10" min="10" style="0" width="15"/>
    <col collapsed="false" customWidth="true" hidden="false" outlineLevel="0" max="12" min="11" style="0" width="11"/>
    <col collapsed="false" customWidth="true" hidden="false" outlineLevel="0" max="14" min="13" style="0" width="12"/>
    <col collapsed="false" customWidth="true" hidden="false" outlineLevel="0" max="15" min="15" style="0" width="15"/>
    <col collapsed="false" customWidth="true" hidden="false" outlineLevel="0" max="16" min="16" style="0" width="12"/>
    <col collapsed="false" customWidth="true" hidden="false" outlineLevel="0" max="18" min="17" style="0" width="9"/>
    <col collapsed="false" customWidth="true" hidden="false" outlineLevel="0" max="20" min="19" style="0" width="13"/>
    <col collapsed="false" customWidth="true" hidden="false" outlineLevel="0" max="21" min="21" style="0" width="14"/>
    <col collapsed="false" customWidth="true" hidden="false" outlineLevel="0" max="23" min="22" style="0" width="13"/>
    <col collapsed="false" customWidth="true" hidden="false" outlineLevel="0" max="25" min="24" style="0" width="11"/>
    <col collapsed="false" customWidth="true" hidden="false" outlineLevel="0" max="26" min="26" style="0" width="12"/>
    <col collapsed="false" customWidth="true" hidden="false" outlineLevel="0" max="27" min="27" style="0" width="10"/>
  </cols>
  <sheetData>
    <row r="1" customFormat="false" ht="19.7" hidden="false" customHeight="false" outlineLevel="0" collapsed="false">
      <c r="A1" s="5" t="s">
        <v>99</v>
      </c>
    </row>
    <row r="2" customFormat="false" ht="15" hidden="false" customHeight="false" outlineLevel="0" collapsed="false">
      <c r="A2" s="6" t="s">
        <v>48</v>
      </c>
      <c r="B2" s="7" t="n">
        <v>46320</v>
      </c>
      <c r="C2" s="8" t="s">
        <v>49</v>
      </c>
      <c r="D2" s="6" t="s">
        <v>50</v>
      </c>
      <c r="E2" s="9" t="n">
        <v>100</v>
      </c>
      <c r="F2" s="8" t="s">
        <v>51</v>
      </c>
    </row>
    <row r="3" customFormat="false" ht="15" hidden="false" customHeight="false" outlineLevel="0" collapsed="false">
      <c r="A3" s="10" t="s">
        <v>52</v>
      </c>
    </row>
    <row r="4" customFormat="false" ht="61.5" hidden="false" customHeight="true" outlineLevel="0" collapsed="false">
      <c r="A4" s="11" t="s">
        <v>53</v>
      </c>
      <c r="B4" s="11" t="s">
        <v>54</v>
      </c>
      <c r="C4" s="11" t="s">
        <v>55</v>
      </c>
      <c r="D4" s="11" t="s">
        <v>56</v>
      </c>
      <c r="E4" s="11" t="s">
        <v>57</v>
      </c>
      <c r="F4" s="11" t="s">
        <v>58</v>
      </c>
      <c r="G4" s="11" t="s">
        <v>59</v>
      </c>
      <c r="H4" s="11" t="s">
        <v>60</v>
      </c>
      <c r="I4" s="11" t="s">
        <v>61</v>
      </c>
      <c r="J4" s="11" t="s">
        <v>62</v>
      </c>
      <c r="K4" s="11" t="s">
        <v>63</v>
      </c>
      <c r="L4" s="11" t="s">
        <v>64</v>
      </c>
      <c r="M4" s="11" t="s">
        <v>65</v>
      </c>
      <c r="N4" s="11" t="s">
        <v>66</v>
      </c>
      <c r="O4" s="11" t="s">
        <v>67</v>
      </c>
      <c r="P4" s="11" t="s">
        <v>25</v>
      </c>
      <c r="Q4" s="11" t="s">
        <v>68</v>
      </c>
      <c r="R4" s="11" t="s">
        <v>69</v>
      </c>
      <c r="S4" s="11" t="s">
        <v>70</v>
      </c>
      <c r="T4" s="11" t="s">
        <v>27</v>
      </c>
      <c r="U4" s="11" t="s">
        <v>71</v>
      </c>
      <c r="V4" s="11" t="s">
        <v>72</v>
      </c>
      <c r="W4" s="11" t="s">
        <v>31</v>
      </c>
      <c r="X4" s="11" t="s">
        <v>33</v>
      </c>
      <c r="Y4" s="11" t="s">
        <v>35</v>
      </c>
      <c r="Z4" s="11" t="s">
        <v>73</v>
      </c>
      <c r="AA4" s="11" t="s">
        <v>74</v>
      </c>
    </row>
    <row r="5" customFormat="false" ht="15" hidden="false" customHeight="false" outlineLevel="0" collapsed="false">
      <c r="A5" s="7" t="n">
        <v>46028</v>
      </c>
      <c r="B5" s="9" t="s">
        <v>100</v>
      </c>
      <c r="C5" s="32" t="s">
        <v>87</v>
      </c>
      <c r="D5" s="12" t="str">
        <f aca="false">IF($C5="","",IF(OR($C5="Long call",$C5="Covered call"),"Call","Put"))</f>
        <v>Put</v>
      </c>
      <c r="E5" s="12" t="str">
        <f aca="false">IF($C5="","",IF(OR($C5="Long call",$C5="Long put"),"Buy to open","Sell to open"))</f>
        <v>Sell to open</v>
      </c>
      <c r="F5" s="13" t="n">
        <v>50</v>
      </c>
      <c r="G5" s="7" t="n">
        <v>46073</v>
      </c>
      <c r="H5" s="14" t="n">
        <v>2</v>
      </c>
      <c r="I5" s="13" t="n">
        <v>1.4</v>
      </c>
      <c r="J5" s="13" t="n">
        <v>52.1</v>
      </c>
      <c r="K5" s="13" t="n">
        <v>2.6</v>
      </c>
      <c r="L5" s="32" t="s">
        <v>101</v>
      </c>
      <c r="M5" s="7"/>
      <c r="N5" s="13"/>
      <c r="O5" s="15" t="n">
        <f aca="false">IF($C5="","",IF($E5="Sell to open",1,-1)*$I5*$E$2*$H5)</f>
        <v>280</v>
      </c>
      <c r="P5" s="15" t="n">
        <f aca="false">IF($C5="","",IF($C5="Long call",$F5+$I5,IF($C5="Covered call",$J5-$I5,$F5-$I5)))</f>
        <v>48.6</v>
      </c>
      <c r="Q5" s="16" t="n">
        <f aca="false">IF($C5="","",IF($AA5="Open",$B$2,IF($M5&lt;&gt;"",$M5,$G5))-$A5)</f>
        <v>45</v>
      </c>
      <c r="R5" s="16" t="str">
        <f aca="false">IF($C5="","",IF($AA5="Open",MAX($G5-$B$2,0),""))</f>
        <v/>
      </c>
      <c r="S5" s="15" t="n">
        <f aca="false">IF(OR($C5="",$AA5="Open"),"",IF($L5="Closed",-IF($E5="Sell to open",1,-1)*$N5*$E$2*$H5,0))</f>
        <v>0</v>
      </c>
      <c r="T5" s="15" t="n">
        <f aca="false">IF(OR($C5="",$AA5="Open"),"",$O5+$S5-$K5)</f>
        <v>277.4</v>
      </c>
      <c r="U5" s="15" t="n">
        <f aca="false">IF(OR($C5="",$AA5="Open"),"",IF(AND($C5="Covered call",$L5="Assigned"),($F5-$J5)*$E$2*$H5,0))</f>
        <v>0</v>
      </c>
      <c r="V5" s="15" t="n">
        <f aca="false">IF(OR($C5="",$AA5="Open"),"",$T5+$U5)</f>
        <v>277.4</v>
      </c>
      <c r="W5" s="15" t="n">
        <f aca="false">IF($C5="","",IF(OR($C5="Long call",$C5="Long put"),$I5*$E$2*$H5,(IF($C5="Covered call",$J5,$F5)-$I5)*$E$2*$H5))</f>
        <v>9720</v>
      </c>
      <c r="X5" s="17" t="n">
        <f aca="false">IF(OR($C5="",$AA5="Open"),"",IF($W5&gt;0,$V5/$W5,""))</f>
        <v>0.0285390946502058</v>
      </c>
      <c r="Y5" s="17" t="n">
        <f aca="false">IF(OR($C5="",$AA5="Open"),"",IF($W5&gt;0,$X5*365/MAX($Q5,1),""))</f>
        <v>0.231483767718336</v>
      </c>
      <c r="Z5" s="18" t="n">
        <f aca="false">IF(OR($C5="",$AA5="Open"),"",IF($M5&lt;&gt;"",$M5,$G5))</f>
        <v>46073</v>
      </c>
      <c r="AA5" s="12" t="str">
        <f aca="false">IF($C5="","",IF(OR($L5="Open",$L5=""),"Open","Realized"))</f>
        <v>Realized</v>
      </c>
    </row>
    <row r="6" customFormat="false" ht="15" hidden="false" customHeight="false" outlineLevel="0" collapsed="false">
      <c r="A6" s="7" t="n">
        <v>46034</v>
      </c>
      <c r="B6" s="9" t="s">
        <v>102</v>
      </c>
      <c r="C6" s="32" t="s">
        <v>84</v>
      </c>
      <c r="D6" s="12" t="str">
        <f aca="false">IF($C6="","",IF(OR($C6="Long call",$C6="Covered call"),"Call","Put"))</f>
        <v>Call</v>
      </c>
      <c r="E6" s="12" t="str">
        <f aca="false">IF($C6="","",IF(OR($C6="Long call",$C6="Long put"),"Buy to open","Sell to open"))</f>
        <v>Buy to open</v>
      </c>
      <c r="F6" s="13" t="n">
        <v>120</v>
      </c>
      <c r="G6" s="7" t="n">
        <v>46101</v>
      </c>
      <c r="H6" s="14" t="n">
        <v>1</v>
      </c>
      <c r="I6" s="13" t="n">
        <v>4.2</v>
      </c>
      <c r="J6" s="13" t="n">
        <v>117.5</v>
      </c>
      <c r="K6" s="13" t="n">
        <v>1.3</v>
      </c>
      <c r="L6" s="32" t="s">
        <v>103</v>
      </c>
      <c r="M6" s="7" t="n">
        <v>46070</v>
      </c>
      <c r="N6" s="13" t="n">
        <v>6.9</v>
      </c>
      <c r="O6" s="15" t="n">
        <f aca="false">IF($C6="","",IF($E6="Sell to open",1,-1)*$I6*$E$2*$H6)</f>
        <v>-420</v>
      </c>
      <c r="P6" s="15" t="n">
        <f aca="false">IF($C6="","",IF($C6="Long call",$F6+$I6,IF($C6="Covered call",$J6-$I6,$F6-$I6)))</f>
        <v>124.2</v>
      </c>
      <c r="Q6" s="16" t="n">
        <f aca="false">IF($C6="","",IF($AA6="Open",$B$2,IF($M6&lt;&gt;"",$M6,$G6))-$A6)</f>
        <v>36</v>
      </c>
      <c r="R6" s="16" t="str">
        <f aca="false">IF($C6="","",IF($AA6="Open",MAX($G6-$B$2,0),""))</f>
        <v/>
      </c>
      <c r="S6" s="15" t="n">
        <f aca="false">IF(OR($C6="",$AA6="Open"),"",IF($L6="Closed",-IF($E6="Sell to open",1,-1)*$N6*$E$2*$H6,0))</f>
        <v>690</v>
      </c>
      <c r="T6" s="15" t="n">
        <f aca="false">IF(OR($C6="",$AA6="Open"),"",$O6+$S6-$K6)</f>
        <v>268.7</v>
      </c>
      <c r="U6" s="15" t="n">
        <f aca="false">IF(OR($C6="",$AA6="Open"),"",IF(AND($C6="Covered call",$L6="Assigned"),($F6-$J6)*$E$2*$H6,0))</f>
        <v>0</v>
      </c>
      <c r="V6" s="15" t="n">
        <f aca="false">IF(OR($C6="",$AA6="Open"),"",$T6+$U6)</f>
        <v>268.7</v>
      </c>
      <c r="W6" s="15" t="n">
        <f aca="false">IF($C6="","",IF(OR($C6="Long call",$C6="Long put"),$I6*$E$2*$H6,(IF($C6="Covered call",$J6,$F6)-$I6)*$E$2*$H6))</f>
        <v>420</v>
      </c>
      <c r="X6" s="17" t="n">
        <f aca="false">IF(OR($C6="",$AA6="Open"),"",IF($W6&gt;0,$V6/$W6,""))</f>
        <v>0.639761904761905</v>
      </c>
      <c r="Y6" s="17" t="n">
        <f aca="false">IF(OR($C6="",$AA6="Open"),"",IF($W6&gt;0,$X6*365/MAX($Q6,1),""))</f>
        <v>6.48647486772487</v>
      </c>
      <c r="Z6" s="18" t="n">
        <f aca="false">IF(OR($C6="",$AA6="Open"),"",IF($M6&lt;&gt;"",$M6,$G6))</f>
        <v>46070</v>
      </c>
      <c r="AA6" s="12" t="str">
        <f aca="false">IF($C6="","",IF(OR($L6="Open",$L6=""),"Open","Realized"))</f>
        <v>Realized</v>
      </c>
    </row>
    <row r="7" customFormat="false" ht="15" hidden="false" customHeight="false" outlineLevel="0" collapsed="false">
      <c r="A7" s="7" t="n">
        <v>46056</v>
      </c>
      <c r="B7" s="9" t="s">
        <v>104</v>
      </c>
      <c r="C7" s="32" t="s">
        <v>86</v>
      </c>
      <c r="D7" s="12" t="str">
        <f aca="false">IF($C7="","",IF(OR($C7="Long call",$C7="Covered call"),"Call","Put"))</f>
        <v>Call</v>
      </c>
      <c r="E7" s="12" t="str">
        <f aca="false">IF($C7="","",IF(OR($C7="Long call",$C7="Long put"),"Buy to open","Sell to open"))</f>
        <v>Sell to open</v>
      </c>
      <c r="F7" s="13" t="n">
        <v>35</v>
      </c>
      <c r="G7" s="7" t="n">
        <v>46101</v>
      </c>
      <c r="H7" s="14" t="n">
        <v>3</v>
      </c>
      <c r="I7" s="13" t="n">
        <v>0.85</v>
      </c>
      <c r="J7" s="13" t="n">
        <v>33.2</v>
      </c>
      <c r="K7" s="13" t="n">
        <v>3.9</v>
      </c>
      <c r="L7" s="32" t="s">
        <v>105</v>
      </c>
      <c r="M7" s="7" t="n">
        <v>46101</v>
      </c>
      <c r="N7" s="13"/>
      <c r="O7" s="15" t="n">
        <f aca="false">IF($C7="","",IF($E7="Sell to open",1,-1)*$I7*$E$2*$H7)</f>
        <v>255</v>
      </c>
      <c r="P7" s="15" t="n">
        <f aca="false">IF($C7="","",IF($C7="Long call",$F7+$I7,IF($C7="Covered call",$J7-$I7,$F7-$I7)))</f>
        <v>32.35</v>
      </c>
      <c r="Q7" s="16" t="n">
        <f aca="false">IF($C7="","",IF($AA7="Open",$B$2,IF($M7&lt;&gt;"",$M7,$G7))-$A7)</f>
        <v>45</v>
      </c>
      <c r="R7" s="16" t="str">
        <f aca="false">IF($C7="","",IF($AA7="Open",MAX($G7-$B$2,0),""))</f>
        <v/>
      </c>
      <c r="S7" s="15" t="n">
        <f aca="false">IF(OR($C7="",$AA7="Open"),"",IF($L7="Closed",-IF($E7="Sell to open",1,-1)*$N7*$E$2*$H7,0))</f>
        <v>0</v>
      </c>
      <c r="T7" s="15" t="n">
        <f aca="false">IF(OR($C7="",$AA7="Open"),"",$O7+$S7-$K7)</f>
        <v>251.1</v>
      </c>
      <c r="U7" s="15" t="n">
        <f aca="false">IF(OR($C7="",$AA7="Open"),"",IF(AND($C7="Covered call",$L7="Assigned"),($F7-$J7)*$E$2*$H7,0))</f>
        <v>539.999999999999</v>
      </c>
      <c r="V7" s="15" t="n">
        <f aca="false">IF(OR($C7="",$AA7="Open"),"",$T7+$U7)</f>
        <v>791.099999999999</v>
      </c>
      <c r="W7" s="15" t="n">
        <f aca="false">IF($C7="","",IF(OR($C7="Long call",$C7="Long put"),$I7*$E$2*$H7,(IF($C7="Covered call",$J7,$F7)-$I7)*$E$2*$H7))</f>
        <v>9705</v>
      </c>
      <c r="X7" s="17" t="n">
        <f aca="false">IF(OR($C7="",$AA7="Open"),"",IF($W7&gt;0,$V7/$W7,""))</f>
        <v>0.0815146831530138</v>
      </c>
      <c r="Y7" s="17" t="n">
        <f aca="false">IF(OR($C7="",$AA7="Open"),"",IF($W7&gt;0,$X7*365/MAX($Q7,1),""))</f>
        <v>0.661174652241112</v>
      </c>
      <c r="Z7" s="18" t="n">
        <f aca="false">IF(OR($C7="",$AA7="Open"),"",IF($M7&lt;&gt;"",$M7,$G7))</f>
        <v>46101</v>
      </c>
      <c r="AA7" s="12" t="str">
        <f aca="false">IF($C7="","",IF(OR($L7="Open",$L7=""),"Open","Realized"))</f>
        <v>Realized</v>
      </c>
    </row>
    <row r="8" customFormat="false" ht="15" hidden="false" customHeight="false" outlineLevel="0" collapsed="false">
      <c r="A8" s="7" t="n">
        <v>46076</v>
      </c>
      <c r="B8" s="9" t="s">
        <v>100</v>
      </c>
      <c r="C8" s="32" t="s">
        <v>87</v>
      </c>
      <c r="D8" s="12" t="str">
        <f aca="false">IF($C8="","",IF(OR($C8="Long call",$C8="Covered call"),"Call","Put"))</f>
        <v>Put</v>
      </c>
      <c r="E8" s="12" t="str">
        <f aca="false">IF($C8="","",IF(OR($C8="Long call",$C8="Long put"),"Buy to open","Sell to open"))</f>
        <v>Sell to open</v>
      </c>
      <c r="F8" s="13" t="n">
        <v>48</v>
      </c>
      <c r="G8" s="7" t="n">
        <v>46129</v>
      </c>
      <c r="H8" s="14" t="n">
        <v>2</v>
      </c>
      <c r="I8" s="13" t="n">
        <v>1.1</v>
      </c>
      <c r="J8" s="13" t="n">
        <v>49.8</v>
      </c>
      <c r="K8" s="13" t="n">
        <v>2.6</v>
      </c>
      <c r="L8" s="32" t="s">
        <v>103</v>
      </c>
      <c r="M8" s="7" t="n">
        <v>46105</v>
      </c>
      <c r="N8" s="13" t="n">
        <v>0.3</v>
      </c>
      <c r="O8" s="15" t="n">
        <f aca="false">IF($C8="","",IF($E8="Sell to open",1,-1)*$I8*$E$2*$H8)</f>
        <v>220</v>
      </c>
      <c r="P8" s="15" t="n">
        <f aca="false">IF($C8="","",IF($C8="Long call",$F8+$I8,IF($C8="Covered call",$J8-$I8,$F8-$I8)))</f>
        <v>46.9</v>
      </c>
      <c r="Q8" s="16" t="n">
        <f aca="false">IF($C8="","",IF($AA8="Open",$B$2,IF($M8&lt;&gt;"",$M8,$G8))-$A8)</f>
        <v>29</v>
      </c>
      <c r="R8" s="16" t="str">
        <f aca="false">IF($C8="","",IF($AA8="Open",MAX($G8-$B$2,0),""))</f>
        <v/>
      </c>
      <c r="S8" s="15" t="n">
        <f aca="false">IF(OR($C8="",$AA8="Open"),"",IF($L8="Closed",-IF($E8="Sell to open",1,-1)*$N8*$E$2*$H8,0))</f>
        <v>-60</v>
      </c>
      <c r="T8" s="15" t="n">
        <f aca="false">IF(OR($C8="",$AA8="Open"),"",$O8+$S8-$K8)</f>
        <v>157.4</v>
      </c>
      <c r="U8" s="15" t="n">
        <f aca="false">IF(OR($C8="",$AA8="Open"),"",IF(AND($C8="Covered call",$L8="Assigned"),($F8-$J8)*$E$2*$H8,0))</f>
        <v>0</v>
      </c>
      <c r="V8" s="15" t="n">
        <f aca="false">IF(OR($C8="",$AA8="Open"),"",$T8+$U8)</f>
        <v>157.4</v>
      </c>
      <c r="W8" s="15" t="n">
        <f aca="false">IF($C8="","",IF(OR($C8="Long call",$C8="Long put"),$I8*$E$2*$H8,(IF($C8="Covered call",$J8,$F8)-$I8)*$E$2*$H8))</f>
        <v>9380</v>
      </c>
      <c r="X8" s="17" t="n">
        <f aca="false">IF(OR($C8="",$AA8="Open"),"",IF($W8&gt;0,$V8/$W8,""))</f>
        <v>0.0167803837953092</v>
      </c>
      <c r="Y8" s="17" t="n">
        <f aca="false">IF(OR($C8="",$AA8="Open"),"",IF($W8&gt;0,$X8*365/MAX($Q8,1),""))</f>
        <v>0.211201382251305</v>
      </c>
      <c r="Z8" s="18" t="n">
        <f aca="false">IF(OR($C8="",$AA8="Open"),"",IF($M8&lt;&gt;"",$M8,$G8))</f>
        <v>46105</v>
      </c>
      <c r="AA8" s="12" t="str">
        <f aca="false">IF($C8="","",IF(OR($L8="Open",$L8=""),"Open","Realized"))</f>
        <v>Realized</v>
      </c>
    </row>
    <row r="9" customFormat="false" ht="15" hidden="false" customHeight="false" outlineLevel="0" collapsed="false">
      <c r="A9" s="7" t="n">
        <v>46091</v>
      </c>
      <c r="B9" s="9" t="s">
        <v>106</v>
      </c>
      <c r="C9" s="32" t="s">
        <v>85</v>
      </c>
      <c r="D9" s="12" t="str">
        <f aca="false">IF($C9="","",IF(OR($C9="Long call",$C9="Covered call"),"Call","Put"))</f>
        <v>Put</v>
      </c>
      <c r="E9" s="12" t="str">
        <f aca="false">IF($C9="","",IF(OR($C9="Long call",$C9="Long put"),"Buy to open","Sell to open"))</f>
        <v>Buy to open</v>
      </c>
      <c r="F9" s="13" t="n">
        <v>80</v>
      </c>
      <c r="G9" s="7" t="n">
        <v>46157</v>
      </c>
      <c r="H9" s="14" t="n">
        <v>2</v>
      </c>
      <c r="I9" s="13" t="n">
        <v>3.5</v>
      </c>
      <c r="J9" s="13" t="n">
        <v>82.4</v>
      </c>
      <c r="K9" s="13" t="n">
        <v>2.6</v>
      </c>
      <c r="L9" s="32" t="s">
        <v>103</v>
      </c>
      <c r="M9" s="7" t="n">
        <v>46120</v>
      </c>
      <c r="N9" s="13" t="n">
        <v>1.2</v>
      </c>
      <c r="O9" s="15" t="n">
        <f aca="false">IF($C9="","",IF($E9="Sell to open",1,-1)*$I9*$E$2*$H9)</f>
        <v>-700</v>
      </c>
      <c r="P9" s="15" t="n">
        <f aca="false">IF($C9="","",IF($C9="Long call",$F9+$I9,IF($C9="Covered call",$J9-$I9,$F9-$I9)))</f>
        <v>76.5</v>
      </c>
      <c r="Q9" s="16" t="n">
        <f aca="false">IF($C9="","",IF($AA9="Open",$B$2,IF($M9&lt;&gt;"",$M9,$G9))-$A9)</f>
        <v>29</v>
      </c>
      <c r="R9" s="16" t="str">
        <f aca="false">IF($C9="","",IF($AA9="Open",MAX($G9-$B$2,0),""))</f>
        <v/>
      </c>
      <c r="S9" s="15" t="n">
        <f aca="false">IF(OR($C9="",$AA9="Open"),"",IF($L9="Closed",-IF($E9="Sell to open",1,-1)*$N9*$E$2*$H9,0))</f>
        <v>240</v>
      </c>
      <c r="T9" s="15" t="n">
        <f aca="false">IF(OR($C9="",$AA9="Open"),"",$O9+$S9-$K9)</f>
        <v>-462.6</v>
      </c>
      <c r="U9" s="15" t="n">
        <f aca="false">IF(OR($C9="",$AA9="Open"),"",IF(AND($C9="Covered call",$L9="Assigned"),($F9-$J9)*$E$2*$H9,0))</f>
        <v>0</v>
      </c>
      <c r="V9" s="15" t="n">
        <f aca="false">IF(OR($C9="",$AA9="Open"),"",$T9+$U9)</f>
        <v>-462.6</v>
      </c>
      <c r="W9" s="15" t="n">
        <f aca="false">IF($C9="","",IF(OR($C9="Long call",$C9="Long put"),$I9*$E$2*$H9,(IF($C9="Covered call",$J9,$F9)-$I9)*$E$2*$H9))</f>
        <v>700</v>
      </c>
      <c r="X9" s="17" t="n">
        <f aca="false">IF(OR($C9="",$AA9="Open"),"",IF($W9&gt;0,$V9/$W9,""))</f>
        <v>-0.660857142857143</v>
      </c>
      <c r="Y9" s="17" t="n">
        <f aca="false">IF(OR($C9="",$AA9="Open"),"",IF($W9&gt;0,$X9*365/MAX($Q9,1),""))</f>
        <v>-8.31768472906404</v>
      </c>
      <c r="Z9" s="18" t="n">
        <f aca="false">IF(OR($C9="",$AA9="Open"),"",IF($M9&lt;&gt;"",$M9,$G9))</f>
        <v>46120</v>
      </c>
      <c r="AA9" s="12" t="str">
        <f aca="false">IF($C9="","",IF(OR($L9="Open",$L9=""),"Open","Realized"))</f>
        <v>Realized</v>
      </c>
    </row>
    <row r="10" customFormat="false" ht="15" hidden="false" customHeight="false" outlineLevel="0" collapsed="false">
      <c r="A10" s="7" t="n">
        <v>46126</v>
      </c>
      <c r="B10" s="9" t="s">
        <v>100</v>
      </c>
      <c r="C10" s="32" t="s">
        <v>87</v>
      </c>
      <c r="D10" s="12" t="str">
        <f aca="false">IF($C10="","",IF(OR($C10="Long call",$C10="Covered call"),"Call","Put"))</f>
        <v>Put</v>
      </c>
      <c r="E10" s="12" t="str">
        <f aca="false">IF($C10="","",IF(OR($C10="Long call",$C10="Long put"),"Buy to open","Sell to open"))</f>
        <v>Sell to open</v>
      </c>
      <c r="F10" s="13" t="n">
        <v>47</v>
      </c>
      <c r="G10" s="7" t="n">
        <v>46157</v>
      </c>
      <c r="H10" s="14" t="n">
        <v>2</v>
      </c>
      <c r="I10" s="13" t="n">
        <v>1.25</v>
      </c>
      <c r="J10" s="13" t="n">
        <v>48.9</v>
      </c>
      <c r="K10" s="13" t="n">
        <v>2.6</v>
      </c>
      <c r="L10" s="32" t="s">
        <v>105</v>
      </c>
      <c r="M10" s="7" t="n">
        <v>46157</v>
      </c>
      <c r="N10" s="13"/>
      <c r="O10" s="15" t="n">
        <f aca="false">IF($C10="","",IF($E10="Sell to open",1,-1)*$I10*$E$2*$H10)</f>
        <v>250</v>
      </c>
      <c r="P10" s="15" t="n">
        <f aca="false">IF($C10="","",IF($C10="Long call",$F10+$I10,IF($C10="Covered call",$J10-$I10,$F10-$I10)))</f>
        <v>45.75</v>
      </c>
      <c r="Q10" s="16" t="n">
        <f aca="false">IF($C10="","",IF($AA10="Open",$B$2,IF($M10&lt;&gt;"",$M10,$G10))-$A10)</f>
        <v>31</v>
      </c>
      <c r="R10" s="16" t="str">
        <f aca="false">IF($C10="","",IF($AA10="Open",MAX($G10-$B$2,0),""))</f>
        <v/>
      </c>
      <c r="S10" s="15" t="n">
        <f aca="false">IF(OR($C10="",$AA10="Open"),"",IF($L10="Closed",-IF($E10="Sell to open",1,-1)*$N10*$E$2*$H10,0))</f>
        <v>0</v>
      </c>
      <c r="T10" s="15" t="n">
        <f aca="false">IF(OR($C10="",$AA10="Open"),"",$O10+$S10-$K10)</f>
        <v>247.4</v>
      </c>
      <c r="U10" s="15" t="n">
        <f aca="false">IF(OR($C10="",$AA10="Open"),"",IF(AND($C10="Covered call",$L10="Assigned"),($F10-$J10)*$E$2*$H10,0))</f>
        <v>0</v>
      </c>
      <c r="V10" s="15" t="n">
        <f aca="false">IF(OR($C10="",$AA10="Open"),"",$T10+$U10)</f>
        <v>247.4</v>
      </c>
      <c r="W10" s="15" t="n">
        <f aca="false">IF($C10="","",IF(OR($C10="Long call",$C10="Long put"),$I10*$E$2*$H10,(IF($C10="Covered call",$J10,$F10)-$I10)*$E$2*$H10))</f>
        <v>9150</v>
      </c>
      <c r="X10" s="17" t="n">
        <f aca="false">IF(OR($C10="",$AA10="Open"),"",IF($W10&gt;0,$V10/$W10,""))</f>
        <v>0.0270382513661202</v>
      </c>
      <c r="Y10" s="17" t="n">
        <f aca="false">IF(OR($C10="",$AA10="Open"),"",IF($W10&gt;0,$X10*365/MAX($Q10,1),""))</f>
        <v>0.318353604794641</v>
      </c>
      <c r="Z10" s="18" t="n">
        <f aca="false">IF(OR($C10="",$AA10="Open"),"",IF($M10&lt;&gt;"",$M10,$G10))</f>
        <v>46157</v>
      </c>
      <c r="AA10" s="12" t="str">
        <f aca="false">IF($C10="","",IF(OR($L10="Open",$L10=""),"Open","Realized"))</f>
        <v>Realized</v>
      </c>
    </row>
    <row r="11" customFormat="false" ht="15" hidden="false" customHeight="false" outlineLevel="0" collapsed="false">
      <c r="A11" s="7" t="n">
        <v>46161</v>
      </c>
      <c r="B11" s="9" t="s">
        <v>100</v>
      </c>
      <c r="C11" s="32" t="s">
        <v>86</v>
      </c>
      <c r="D11" s="12" t="str">
        <f aca="false">IF($C11="","",IF(OR($C11="Long call",$C11="Covered call"),"Call","Put"))</f>
        <v>Call</v>
      </c>
      <c r="E11" s="12" t="str">
        <f aca="false">IF($C11="","",IF(OR($C11="Long call",$C11="Long put"),"Buy to open","Sell to open"))</f>
        <v>Sell to open</v>
      </c>
      <c r="F11" s="13" t="n">
        <v>47</v>
      </c>
      <c r="G11" s="7" t="n">
        <v>46191</v>
      </c>
      <c r="H11" s="14" t="n">
        <v>2</v>
      </c>
      <c r="I11" s="13" t="n">
        <v>0.95</v>
      </c>
      <c r="J11" s="13" t="n">
        <v>47</v>
      </c>
      <c r="K11" s="13" t="n">
        <v>2.6</v>
      </c>
      <c r="L11" s="32" t="s">
        <v>101</v>
      </c>
      <c r="M11" s="7"/>
      <c r="N11" s="13"/>
      <c r="O11" s="15" t="n">
        <f aca="false">IF($C11="","",IF($E11="Sell to open",1,-1)*$I11*$E$2*$H11)</f>
        <v>190</v>
      </c>
      <c r="P11" s="15" t="n">
        <f aca="false">IF($C11="","",IF($C11="Long call",$F11+$I11,IF($C11="Covered call",$J11-$I11,$F11-$I11)))</f>
        <v>46.05</v>
      </c>
      <c r="Q11" s="16" t="n">
        <f aca="false">IF($C11="","",IF($AA11="Open",$B$2,IF($M11&lt;&gt;"",$M11,$G11))-$A11)</f>
        <v>30</v>
      </c>
      <c r="R11" s="16" t="str">
        <f aca="false">IF($C11="","",IF($AA11="Open",MAX($G11-$B$2,0),""))</f>
        <v/>
      </c>
      <c r="S11" s="15" t="n">
        <f aca="false">IF(OR($C11="",$AA11="Open"),"",IF($L11="Closed",-IF($E11="Sell to open",1,-1)*$N11*$E$2*$H11,0))</f>
        <v>0</v>
      </c>
      <c r="T11" s="15" t="n">
        <f aca="false">IF(OR($C11="",$AA11="Open"),"",$O11+$S11-$K11)</f>
        <v>187.4</v>
      </c>
      <c r="U11" s="15" t="n">
        <f aca="false">IF(OR($C11="",$AA11="Open"),"",IF(AND($C11="Covered call",$L11="Assigned"),($F11-$J11)*$E$2*$H11,0))</f>
        <v>0</v>
      </c>
      <c r="V11" s="15" t="n">
        <f aca="false">IF(OR($C11="",$AA11="Open"),"",$T11+$U11)</f>
        <v>187.4</v>
      </c>
      <c r="W11" s="15" t="n">
        <f aca="false">IF($C11="","",IF(OR($C11="Long call",$C11="Long put"),$I11*$E$2*$H11,(IF($C11="Covered call",$J11,$F11)-$I11)*$E$2*$H11))</f>
        <v>9210</v>
      </c>
      <c r="X11" s="17" t="n">
        <f aca="false">IF(OR($C11="",$AA11="Open"),"",IF($W11&gt;0,$V11/$W11,""))</f>
        <v>0.0203474484256243</v>
      </c>
      <c r="Y11" s="17" t="n">
        <f aca="false">IF(OR($C11="",$AA11="Open"),"",IF($W11&gt;0,$X11*365/MAX($Q11,1),""))</f>
        <v>0.247560622511763</v>
      </c>
      <c r="Z11" s="18" t="n">
        <f aca="false">IF(OR($C11="",$AA11="Open"),"",IF($M11&lt;&gt;"",$M11,$G11))</f>
        <v>46191</v>
      </c>
      <c r="AA11" s="12" t="str">
        <f aca="false">IF($C11="","",IF(OR($L11="Open",$L11=""),"Open","Realized"))</f>
        <v>Realized</v>
      </c>
    </row>
    <row r="12" customFormat="false" ht="15" hidden="false" customHeight="false" outlineLevel="0" collapsed="false">
      <c r="A12" s="7" t="n">
        <v>46195</v>
      </c>
      <c r="B12" s="9" t="s">
        <v>102</v>
      </c>
      <c r="C12" s="32" t="s">
        <v>84</v>
      </c>
      <c r="D12" s="12" t="str">
        <f aca="false">IF($C12="","",IF(OR($C12="Long call",$C12="Covered call"),"Call","Put"))</f>
        <v>Call</v>
      </c>
      <c r="E12" s="12" t="str">
        <f aca="false">IF($C12="","",IF(OR($C12="Long call",$C12="Long put"),"Buy to open","Sell to open"))</f>
        <v>Buy to open</v>
      </c>
      <c r="F12" s="13" t="n">
        <v>130</v>
      </c>
      <c r="G12" s="7" t="n">
        <v>46255</v>
      </c>
      <c r="H12" s="14" t="n">
        <v>1</v>
      </c>
      <c r="I12" s="13" t="n">
        <v>3.8</v>
      </c>
      <c r="J12" s="13" t="n">
        <v>126</v>
      </c>
      <c r="K12" s="13" t="n">
        <v>1.3</v>
      </c>
      <c r="L12" s="32" t="s">
        <v>101</v>
      </c>
      <c r="M12" s="7"/>
      <c r="N12" s="13"/>
      <c r="O12" s="15" t="n">
        <f aca="false">IF($C12="","",IF($E12="Sell to open",1,-1)*$I12*$E$2*$H12)</f>
        <v>-380</v>
      </c>
      <c r="P12" s="15" t="n">
        <f aca="false">IF($C12="","",IF($C12="Long call",$F12+$I12,IF($C12="Covered call",$J12-$I12,$F12-$I12)))</f>
        <v>133.8</v>
      </c>
      <c r="Q12" s="16" t="n">
        <f aca="false">IF($C12="","",IF($AA12="Open",$B$2,IF($M12&lt;&gt;"",$M12,$G12))-$A12)</f>
        <v>60</v>
      </c>
      <c r="R12" s="16" t="str">
        <f aca="false">IF($C12="","",IF($AA12="Open",MAX($G12-$B$2,0),""))</f>
        <v/>
      </c>
      <c r="S12" s="15" t="n">
        <f aca="false">IF(OR($C12="",$AA12="Open"),"",IF($L12="Closed",-IF($E12="Sell to open",1,-1)*$N12*$E$2*$H12,0))</f>
        <v>0</v>
      </c>
      <c r="T12" s="15" t="n">
        <f aca="false">IF(OR($C12="",$AA12="Open"),"",$O12+$S12-$K12)</f>
        <v>-381.3</v>
      </c>
      <c r="U12" s="15" t="n">
        <f aca="false">IF(OR($C12="",$AA12="Open"),"",IF(AND($C12="Covered call",$L12="Assigned"),($F12-$J12)*$E$2*$H12,0))</f>
        <v>0</v>
      </c>
      <c r="V12" s="15" t="n">
        <f aca="false">IF(OR($C12="",$AA12="Open"),"",$T12+$U12)</f>
        <v>-381.3</v>
      </c>
      <c r="W12" s="15" t="n">
        <f aca="false">IF($C12="","",IF(OR($C12="Long call",$C12="Long put"),$I12*$E$2*$H12,(IF($C12="Covered call",$J12,$F12)-$I12)*$E$2*$H12))</f>
        <v>380</v>
      </c>
      <c r="X12" s="17" t="n">
        <f aca="false">IF(OR($C12="",$AA12="Open"),"",IF($W12&gt;0,$V12/$W12,""))</f>
        <v>-1.00342105263158</v>
      </c>
      <c r="Y12" s="17" t="n">
        <f aca="false">IF(OR($C12="",$AA12="Open"),"",IF($W12&gt;0,$X12*365/MAX($Q12,1),""))</f>
        <v>-6.10414473684211</v>
      </c>
      <c r="Z12" s="18" t="n">
        <f aca="false">IF(OR($C12="",$AA12="Open"),"",IF($M12&lt;&gt;"",$M12,$G12))</f>
        <v>46255</v>
      </c>
      <c r="AA12" s="12" t="str">
        <f aca="false">IF($C12="","",IF(OR($L12="Open",$L12=""),"Open","Realized"))</f>
        <v>Realized</v>
      </c>
    </row>
    <row r="13" customFormat="false" ht="15" hidden="false" customHeight="false" outlineLevel="0" collapsed="false">
      <c r="A13" s="7" t="n">
        <v>46210</v>
      </c>
      <c r="B13" s="9" t="s">
        <v>100</v>
      </c>
      <c r="C13" s="32" t="s">
        <v>86</v>
      </c>
      <c r="D13" s="12" t="str">
        <f aca="false">IF($C13="","",IF(OR($C13="Long call",$C13="Covered call"),"Call","Put"))</f>
        <v>Call</v>
      </c>
      <c r="E13" s="12" t="str">
        <f aca="false">IF($C13="","",IF(OR($C13="Long call",$C13="Long put"),"Buy to open","Sell to open"))</f>
        <v>Sell to open</v>
      </c>
      <c r="F13" s="13" t="n">
        <v>49</v>
      </c>
      <c r="G13" s="7" t="n">
        <v>46255</v>
      </c>
      <c r="H13" s="14" t="n">
        <v>2</v>
      </c>
      <c r="I13" s="13" t="n">
        <v>1.05</v>
      </c>
      <c r="J13" s="13" t="n">
        <v>47</v>
      </c>
      <c r="K13" s="13" t="n">
        <v>2.6</v>
      </c>
      <c r="L13" s="32" t="s">
        <v>105</v>
      </c>
      <c r="M13" s="7" t="n">
        <v>46255</v>
      </c>
      <c r="N13" s="13"/>
      <c r="O13" s="15" t="n">
        <f aca="false">IF($C13="","",IF($E13="Sell to open",1,-1)*$I13*$E$2*$H13)</f>
        <v>210</v>
      </c>
      <c r="P13" s="15" t="n">
        <f aca="false">IF($C13="","",IF($C13="Long call",$F13+$I13,IF($C13="Covered call",$J13-$I13,$F13-$I13)))</f>
        <v>45.95</v>
      </c>
      <c r="Q13" s="16" t="n">
        <f aca="false">IF($C13="","",IF($AA13="Open",$B$2,IF($M13&lt;&gt;"",$M13,$G13))-$A13)</f>
        <v>45</v>
      </c>
      <c r="R13" s="16" t="str">
        <f aca="false">IF($C13="","",IF($AA13="Open",MAX($G13-$B$2,0),""))</f>
        <v/>
      </c>
      <c r="S13" s="15" t="n">
        <f aca="false">IF(OR($C13="",$AA13="Open"),"",IF($L13="Closed",-IF($E13="Sell to open",1,-1)*$N13*$E$2*$H13,0))</f>
        <v>0</v>
      </c>
      <c r="T13" s="15" t="n">
        <f aca="false">IF(OR($C13="",$AA13="Open"),"",$O13+$S13-$K13)</f>
        <v>207.4</v>
      </c>
      <c r="U13" s="15" t="n">
        <f aca="false">IF(OR($C13="",$AA13="Open"),"",IF(AND($C13="Covered call",$L13="Assigned"),($F13-$J13)*$E$2*$H13,0))</f>
        <v>400</v>
      </c>
      <c r="V13" s="15" t="n">
        <f aca="false">IF(OR($C13="",$AA13="Open"),"",$T13+$U13)</f>
        <v>607.4</v>
      </c>
      <c r="W13" s="15" t="n">
        <f aca="false">IF($C13="","",IF(OR($C13="Long call",$C13="Long put"),$I13*$E$2*$H13,(IF($C13="Covered call",$J13,$F13)-$I13)*$E$2*$H13))</f>
        <v>9190</v>
      </c>
      <c r="X13" s="17" t="n">
        <f aca="false">IF(OR($C13="",$AA13="Open"),"",IF($W13&gt;0,$V13/$W13,""))</f>
        <v>0.0660935799782372</v>
      </c>
      <c r="Y13" s="17" t="n">
        <f aca="false">IF(OR($C13="",$AA13="Open"),"",IF($W13&gt;0,$X13*365/MAX($Q13,1),""))</f>
        <v>0.536092370934591</v>
      </c>
      <c r="Z13" s="18" t="n">
        <f aca="false">IF(OR($C13="",$AA13="Open"),"",IF($M13&lt;&gt;"",$M13,$G13))</f>
        <v>46255</v>
      </c>
      <c r="AA13" s="12" t="str">
        <f aca="false">IF($C13="","",IF(OR($L13="Open",$L13=""),"Open","Realized"))</f>
        <v>Realized</v>
      </c>
    </row>
    <row r="14" customFormat="false" ht="15" hidden="false" customHeight="false" outlineLevel="0" collapsed="false">
      <c r="A14" s="7" t="n">
        <v>46244</v>
      </c>
      <c r="B14" s="9" t="s">
        <v>107</v>
      </c>
      <c r="C14" s="32" t="s">
        <v>87</v>
      </c>
      <c r="D14" s="12" t="str">
        <f aca="false">IF($C14="","",IF(OR($C14="Long call",$C14="Covered call"),"Call","Put"))</f>
        <v>Put</v>
      </c>
      <c r="E14" s="12" t="str">
        <f aca="false">IF($C14="","",IF(OR($C14="Long call",$C14="Long put"),"Buy to open","Sell to open"))</f>
        <v>Sell to open</v>
      </c>
      <c r="F14" s="13" t="n">
        <v>25</v>
      </c>
      <c r="G14" s="7" t="n">
        <v>46283</v>
      </c>
      <c r="H14" s="14" t="n">
        <v>4</v>
      </c>
      <c r="I14" s="13" t="n">
        <v>0.62</v>
      </c>
      <c r="J14" s="13" t="n">
        <v>26.3</v>
      </c>
      <c r="K14" s="13" t="n">
        <v>5.2</v>
      </c>
      <c r="L14" s="32" t="s">
        <v>103</v>
      </c>
      <c r="M14" s="7" t="n">
        <v>46267</v>
      </c>
      <c r="N14" s="13" t="n">
        <v>0.15</v>
      </c>
      <c r="O14" s="15" t="n">
        <f aca="false">IF($C14="","",IF($E14="Sell to open",1,-1)*$I14*$E$2*$H14)</f>
        <v>248</v>
      </c>
      <c r="P14" s="15" t="n">
        <f aca="false">IF($C14="","",IF($C14="Long call",$F14+$I14,IF($C14="Covered call",$J14-$I14,$F14-$I14)))</f>
        <v>24.38</v>
      </c>
      <c r="Q14" s="16" t="n">
        <f aca="false">IF($C14="","",IF($AA14="Open",$B$2,IF($M14&lt;&gt;"",$M14,$G14))-$A14)</f>
        <v>23</v>
      </c>
      <c r="R14" s="16" t="str">
        <f aca="false">IF($C14="","",IF($AA14="Open",MAX($G14-$B$2,0),""))</f>
        <v/>
      </c>
      <c r="S14" s="15" t="n">
        <f aca="false">IF(OR($C14="",$AA14="Open"),"",IF($L14="Closed",-IF($E14="Sell to open",1,-1)*$N14*$E$2*$H14,0))</f>
        <v>-60</v>
      </c>
      <c r="T14" s="15" t="n">
        <f aca="false">IF(OR($C14="",$AA14="Open"),"",$O14+$S14-$K14)</f>
        <v>182.8</v>
      </c>
      <c r="U14" s="15" t="n">
        <f aca="false">IF(OR($C14="",$AA14="Open"),"",IF(AND($C14="Covered call",$L14="Assigned"),($F14-$J14)*$E$2*$H14,0))</f>
        <v>0</v>
      </c>
      <c r="V14" s="15" t="n">
        <f aca="false">IF(OR($C14="",$AA14="Open"),"",$T14+$U14)</f>
        <v>182.8</v>
      </c>
      <c r="W14" s="15" t="n">
        <f aca="false">IF($C14="","",IF(OR($C14="Long call",$C14="Long put"),$I14*$E$2*$H14,(IF($C14="Covered call",$J14,$F14)-$I14)*$E$2*$H14))</f>
        <v>9752</v>
      </c>
      <c r="X14" s="17" t="n">
        <f aca="false">IF(OR($C14="",$AA14="Open"),"",IF($W14&gt;0,$V14/$W14,""))</f>
        <v>0.0187448728465956</v>
      </c>
      <c r="Y14" s="17" t="n">
        <f aca="false">IF(OR($C14="",$AA14="Open"),"",IF($W14&gt;0,$X14*365/MAX($Q14,1),""))</f>
        <v>0.297472982130756</v>
      </c>
      <c r="Z14" s="18" t="n">
        <f aca="false">IF(OR($C14="",$AA14="Open"),"",IF($M14&lt;&gt;"",$M14,$G14))</f>
        <v>46267</v>
      </c>
      <c r="AA14" s="12" t="str">
        <f aca="false">IF($C14="","",IF(OR($L14="Open",$L14=""),"Open","Realized"))</f>
        <v>Realized</v>
      </c>
    </row>
    <row r="15" customFormat="false" ht="15" hidden="false" customHeight="false" outlineLevel="0" collapsed="false">
      <c r="A15" s="7" t="n">
        <v>46280</v>
      </c>
      <c r="B15" s="9" t="s">
        <v>106</v>
      </c>
      <c r="C15" s="32" t="s">
        <v>85</v>
      </c>
      <c r="D15" s="12" t="str">
        <f aca="false">IF($C15="","",IF(OR($C15="Long call",$C15="Covered call"),"Call","Put"))</f>
        <v>Put</v>
      </c>
      <c r="E15" s="12" t="str">
        <f aca="false">IF($C15="","",IF(OR($C15="Long call",$C15="Long put"),"Buy to open","Sell to open"))</f>
        <v>Buy to open</v>
      </c>
      <c r="F15" s="13" t="n">
        <v>75</v>
      </c>
      <c r="G15" s="7" t="n">
        <v>46374</v>
      </c>
      <c r="H15" s="14" t="n">
        <v>1</v>
      </c>
      <c r="I15" s="13" t="n">
        <v>4.1</v>
      </c>
      <c r="J15" s="13" t="n">
        <v>78.2</v>
      </c>
      <c r="K15" s="13" t="n">
        <v>1.3</v>
      </c>
      <c r="L15" s="32" t="s">
        <v>78</v>
      </c>
      <c r="M15" s="7"/>
      <c r="N15" s="13"/>
      <c r="O15" s="15" t="n">
        <f aca="false">IF($C15="","",IF($E15="Sell to open",1,-1)*$I15*$E$2*$H15)</f>
        <v>-410</v>
      </c>
      <c r="P15" s="15" t="n">
        <f aca="false">IF($C15="","",IF($C15="Long call",$F15+$I15,IF($C15="Covered call",$J15-$I15,$F15-$I15)))</f>
        <v>70.9</v>
      </c>
      <c r="Q15" s="16" t="n">
        <f aca="false">IF($C15="","",IF($AA15="Open",$B$2,IF($M15&lt;&gt;"",$M15,$G15))-$A15)</f>
        <v>40</v>
      </c>
      <c r="R15" s="16" t="n">
        <f aca="false">IF($C15="","",IF($AA15="Open",MAX($G15-$B$2,0),""))</f>
        <v>54</v>
      </c>
      <c r="S15" s="15" t="str">
        <f aca="false">IF(OR($C15="",$AA15="Open"),"",IF($L15="Closed",-IF($E15="Sell to open",1,-1)*$N15*$E$2*$H15,0))</f>
        <v/>
      </c>
      <c r="T15" s="15" t="str">
        <f aca="false">IF(OR($C15="",$AA15="Open"),"",$O15+$S15-$K15)</f>
        <v/>
      </c>
      <c r="U15" s="15" t="str">
        <f aca="false">IF(OR($C15="",$AA15="Open"),"",IF(AND($C15="Covered call",$L15="Assigned"),($F15-$J15)*$E$2*$H15,0))</f>
        <v/>
      </c>
      <c r="V15" s="15" t="str">
        <f aca="false">IF(OR($C15="",$AA15="Open"),"",$T15+$U15)</f>
        <v/>
      </c>
      <c r="W15" s="15" t="n">
        <f aca="false">IF($C15="","",IF(OR($C15="Long call",$C15="Long put"),$I15*$E$2*$H15,(IF($C15="Covered call",$J15,$F15)-$I15)*$E$2*$H15))</f>
        <v>410</v>
      </c>
      <c r="X15" s="17" t="str">
        <f aca="false">IF(OR($C15="",$AA15="Open"),"",IF($W15&gt;0,$V15/$W15,""))</f>
        <v/>
      </c>
      <c r="Y15" s="17" t="str">
        <f aca="false">IF(OR($C15="",$AA15="Open"),"",IF($W15&gt;0,$X15*365/MAX($Q15,1),""))</f>
        <v/>
      </c>
      <c r="Z15" s="18" t="str">
        <f aca="false">IF(OR($C15="",$AA15="Open"),"",IF($M15&lt;&gt;"",$M15,$G15))</f>
        <v/>
      </c>
      <c r="AA15" s="12" t="str">
        <f aca="false">IF($C15="","",IF(OR($L15="Open",$L15=""),"Open","Realized"))</f>
        <v>Open</v>
      </c>
    </row>
    <row r="16" customFormat="false" ht="15" hidden="false" customHeight="false" outlineLevel="0" collapsed="false">
      <c r="A16" s="7" t="n">
        <v>46296</v>
      </c>
      <c r="B16" s="9" t="s">
        <v>104</v>
      </c>
      <c r="C16" s="32" t="s">
        <v>87</v>
      </c>
      <c r="D16" s="12" t="str">
        <f aca="false">IF($C16="","",IF(OR($C16="Long call",$C16="Covered call"),"Call","Put"))</f>
        <v>Put</v>
      </c>
      <c r="E16" s="12" t="str">
        <f aca="false">IF($C16="","",IF(OR($C16="Long call",$C16="Long put"),"Buy to open","Sell to open"))</f>
        <v>Sell to open</v>
      </c>
      <c r="F16" s="13" t="n">
        <v>34</v>
      </c>
      <c r="G16" s="7" t="n">
        <v>46346</v>
      </c>
      <c r="H16" s="14" t="n">
        <v>3</v>
      </c>
      <c r="I16" s="13" t="n">
        <v>0.9</v>
      </c>
      <c r="J16" s="13" t="n">
        <v>35.6</v>
      </c>
      <c r="K16" s="13" t="n">
        <v>3.9</v>
      </c>
      <c r="L16" s="32" t="s">
        <v>78</v>
      </c>
      <c r="M16" s="7"/>
      <c r="N16" s="13"/>
      <c r="O16" s="15" t="n">
        <f aca="false">IF($C16="","",IF($E16="Sell to open",1,-1)*$I16*$E$2*$H16)</f>
        <v>270</v>
      </c>
      <c r="P16" s="15" t="n">
        <f aca="false">IF($C16="","",IF($C16="Long call",$F16+$I16,IF($C16="Covered call",$J16-$I16,$F16-$I16)))</f>
        <v>33.1</v>
      </c>
      <c r="Q16" s="16" t="n">
        <f aca="false">IF($C16="","",IF($AA16="Open",$B$2,IF($M16&lt;&gt;"",$M16,$G16))-$A16)</f>
        <v>24</v>
      </c>
      <c r="R16" s="16" t="n">
        <f aca="false">IF($C16="","",IF($AA16="Open",MAX($G16-$B$2,0),""))</f>
        <v>26</v>
      </c>
      <c r="S16" s="15" t="str">
        <f aca="false">IF(OR($C16="",$AA16="Open"),"",IF($L16="Closed",-IF($E16="Sell to open",1,-1)*$N16*$E$2*$H16,0))</f>
        <v/>
      </c>
      <c r="T16" s="15" t="str">
        <f aca="false">IF(OR($C16="",$AA16="Open"),"",$O16+$S16-$K16)</f>
        <v/>
      </c>
      <c r="U16" s="15" t="str">
        <f aca="false">IF(OR($C16="",$AA16="Open"),"",IF(AND($C16="Covered call",$L16="Assigned"),($F16-$J16)*$E$2*$H16,0))</f>
        <v/>
      </c>
      <c r="V16" s="15" t="str">
        <f aca="false">IF(OR($C16="",$AA16="Open"),"",$T16+$U16)</f>
        <v/>
      </c>
      <c r="W16" s="15" t="n">
        <f aca="false">IF($C16="","",IF(OR($C16="Long call",$C16="Long put"),$I16*$E$2*$H16,(IF($C16="Covered call",$J16,$F16)-$I16)*$E$2*$H16))</f>
        <v>9930</v>
      </c>
      <c r="X16" s="17" t="str">
        <f aca="false">IF(OR($C16="",$AA16="Open"),"",IF($W16&gt;0,$V16/$W16,""))</f>
        <v/>
      </c>
      <c r="Y16" s="17" t="str">
        <f aca="false">IF(OR($C16="",$AA16="Open"),"",IF($W16&gt;0,$X16*365/MAX($Q16,1),""))</f>
        <v/>
      </c>
      <c r="Z16" s="18" t="str">
        <f aca="false">IF(OR($C16="",$AA16="Open"),"",IF($M16&lt;&gt;"",$M16,$G16))</f>
        <v/>
      </c>
      <c r="AA16" s="12" t="str">
        <f aca="false">IF($C16="","",IF(OR($L16="Open",$L16=""),"Open","Realized"))</f>
        <v>Open</v>
      </c>
    </row>
    <row r="17" customFormat="false" ht="15" hidden="false" customHeight="false" outlineLevel="0" collapsed="false">
      <c r="A17" s="7"/>
      <c r="B17" s="9"/>
      <c r="C17" s="32"/>
      <c r="D17" s="12" t="str">
        <f aca="false">IF($C17="","",IF(OR($C17="Long call",$C17="Covered call"),"Call","Put"))</f>
        <v/>
      </c>
      <c r="E17" s="12" t="str">
        <f aca="false">IF($C17="","",IF(OR($C17="Long call",$C17="Long put"),"Buy to open","Sell to open"))</f>
        <v/>
      </c>
      <c r="F17" s="13"/>
      <c r="G17" s="7"/>
      <c r="H17" s="14"/>
      <c r="I17" s="13"/>
      <c r="J17" s="13"/>
      <c r="K17" s="13"/>
      <c r="L17" s="32"/>
      <c r="M17" s="7"/>
      <c r="N17" s="13"/>
      <c r="O17" s="15" t="str">
        <f aca="false">IF($C17="","",IF($E17="Sell to open",1,-1)*$I17*$E$2*$H17)</f>
        <v/>
      </c>
      <c r="P17" s="15" t="str">
        <f aca="false">IF($C17="","",IF($C17="Long call",$F17+$I17,IF($C17="Covered call",$J17-$I17,$F17-$I17)))</f>
        <v/>
      </c>
      <c r="Q17" s="16" t="str">
        <f aca="false">IF($C17="","",IF($AA17="Open",$B$2,IF($M17&lt;&gt;"",$M17,$G17))-$A17)</f>
        <v/>
      </c>
      <c r="R17" s="16" t="str">
        <f aca="false">IF($C17="","",IF($AA17="Open",MAX($G17-$B$2,0),""))</f>
        <v/>
      </c>
      <c r="S17" s="15" t="str">
        <f aca="false">IF(OR($C17="",$AA17="Open"),"",IF($L17="Closed",-IF($E17="Sell to open",1,-1)*$N17*$E$2*$H17,0))</f>
        <v/>
      </c>
      <c r="T17" s="15" t="str">
        <f aca="false">IF(OR($C17="",$AA17="Open"),"",$O17+$S17-$K17)</f>
        <v/>
      </c>
      <c r="U17" s="15" t="str">
        <f aca="false">IF(OR($C17="",$AA17="Open"),"",IF(AND($C17="Covered call",$L17="Assigned"),($F17-$J17)*$E$2*$H17,0))</f>
        <v/>
      </c>
      <c r="V17" s="15" t="str">
        <f aca="false">IF(OR($C17="",$AA17="Open"),"",$T17+$U17)</f>
        <v/>
      </c>
      <c r="W17" s="15" t="str">
        <f aca="false">IF($C17="","",IF(OR($C17="Long call",$C17="Long put"),$I17*$E$2*$H17,(IF($C17="Covered call",$J17,$F17)-$I17)*$E$2*$H17))</f>
        <v/>
      </c>
      <c r="X17" s="17" t="str">
        <f aca="false">IF(OR($C17="",$AA17="Open"),"",IF($W17&gt;0,$V17/$W17,""))</f>
        <v/>
      </c>
      <c r="Y17" s="17" t="str">
        <f aca="false">IF(OR($C17="",$AA17="Open"),"",IF($W17&gt;0,$X17*365/MAX($Q17,1),""))</f>
        <v/>
      </c>
      <c r="Z17" s="18" t="str">
        <f aca="false">IF(OR($C17="",$AA17="Open"),"",IF($M17&lt;&gt;"",$M17,$G17))</f>
        <v/>
      </c>
      <c r="AA17" s="12" t="str">
        <f aca="false">IF($C17="","",IF(OR($L17="Open",$L17=""),"Open","Realized"))</f>
        <v/>
      </c>
    </row>
    <row r="18" customFormat="false" ht="15" hidden="false" customHeight="false" outlineLevel="0" collapsed="false">
      <c r="A18" s="7"/>
      <c r="B18" s="9"/>
      <c r="C18" s="32"/>
      <c r="D18" s="12" t="str">
        <f aca="false">IF($C18="","",IF(OR($C18="Long call",$C18="Covered call"),"Call","Put"))</f>
        <v/>
      </c>
      <c r="E18" s="12" t="str">
        <f aca="false">IF($C18="","",IF(OR($C18="Long call",$C18="Long put"),"Buy to open","Sell to open"))</f>
        <v/>
      </c>
      <c r="F18" s="13"/>
      <c r="G18" s="7"/>
      <c r="H18" s="14"/>
      <c r="I18" s="13"/>
      <c r="J18" s="13"/>
      <c r="K18" s="13"/>
      <c r="L18" s="32"/>
      <c r="M18" s="7"/>
      <c r="N18" s="13"/>
      <c r="O18" s="15" t="str">
        <f aca="false">IF($C18="","",IF($E18="Sell to open",1,-1)*$I18*$E$2*$H18)</f>
        <v/>
      </c>
      <c r="P18" s="15" t="str">
        <f aca="false">IF($C18="","",IF($C18="Long call",$F18+$I18,IF($C18="Covered call",$J18-$I18,$F18-$I18)))</f>
        <v/>
      </c>
      <c r="Q18" s="16" t="str">
        <f aca="false">IF($C18="","",IF($AA18="Open",$B$2,IF($M18&lt;&gt;"",$M18,$G18))-$A18)</f>
        <v/>
      </c>
      <c r="R18" s="16" t="str">
        <f aca="false">IF($C18="","",IF($AA18="Open",MAX($G18-$B$2,0),""))</f>
        <v/>
      </c>
      <c r="S18" s="15" t="str">
        <f aca="false">IF(OR($C18="",$AA18="Open"),"",IF($L18="Closed",-IF($E18="Sell to open",1,-1)*$N18*$E$2*$H18,0))</f>
        <v/>
      </c>
      <c r="T18" s="15" t="str">
        <f aca="false">IF(OR($C18="",$AA18="Open"),"",$O18+$S18-$K18)</f>
        <v/>
      </c>
      <c r="U18" s="15" t="str">
        <f aca="false">IF(OR($C18="",$AA18="Open"),"",IF(AND($C18="Covered call",$L18="Assigned"),($F18-$J18)*$E$2*$H18,0))</f>
        <v/>
      </c>
      <c r="V18" s="15" t="str">
        <f aca="false">IF(OR($C18="",$AA18="Open"),"",$T18+$U18)</f>
        <v/>
      </c>
      <c r="W18" s="15" t="str">
        <f aca="false">IF($C18="","",IF(OR($C18="Long call",$C18="Long put"),$I18*$E$2*$H18,(IF($C18="Covered call",$J18,$F18)-$I18)*$E$2*$H18))</f>
        <v/>
      </c>
      <c r="X18" s="17" t="str">
        <f aca="false">IF(OR($C18="",$AA18="Open"),"",IF($W18&gt;0,$V18/$W18,""))</f>
        <v/>
      </c>
      <c r="Y18" s="17" t="str">
        <f aca="false">IF(OR($C18="",$AA18="Open"),"",IF($W18&gt;0,$X18*365/MAX($Q18,1),""))</f>
        <v/>
      </c>
      <c r="Z18" s="18" t="str">
        <f aca="false">IF(OR($C18="",$AA18="Open"),"",IF($M18&lt;&gt;"",$M18,$G18))</f>
        <v/>
      </c>
      <c r="AA18" s="12" t="str">
        <f aca="false">IF($C18="","",IF(OR($L18="Open",$L18=""),"Open","Realized"))</f>
        <v/>
      </c>
    </row>
    <row r="19" customFormat="false" ht="15" hidden="false" customHeight="false" outlineLevel="0" collapsed="false">
      <c r="A19" s="7"/>
      <c r="B19" s="9"/>
      <c r="C19" s="32"/>
      <c r="D19" s="12" t="str">
        <f aca="false">IF($C19="","",IF(OR($C19="Long call",$C19="Covered call"),"Call","Put"))</f>
        <v/>
      </c>
      <c r="E19" s="12" t="str">
        <f aca="false">IF($C19="","",IF(OR($C19="Long call",$C19="Long put"),"Buy to open","Sell to open"))</f>
        <v/>
      </c>
      <c r="F19" s="13"/>
      <c r="G19" s="7"/>
      <c r="H19" s="14"/>
      <c r="I19" s="13"/>
      <c r="J19" s="13"/>
      <c r="K19" s="13"/>
      <c r="L19" s="32"/>
      <c r="M19" s="7"/>
      <c r="N19" s="13"/>
      <c r="O19" s="15" t="str">
        <f aca="false">IF($C19="","",IF($E19="Sell to open",1,-1)*$I19*$E$2*$H19)</f>
        <v/>
      </c>
      <c r="P19" s="15" t="str">
        <f aca="false">IF($C19="","",IF($C19="Long call",$F19+$I19,IF($C19="Covered call",$J19-$I19,$F19-$I19)))</f>
        <v/>
      </c>
      <c r="Q19" s="16" t="str">
        <f aca="false">IF($C19="","",IF($AA19="Open",$B$2,IF($M19&lt;&gt;"",$M19,$G19))-$A19)</f>
        <v/>
      </c>
      <c r="R19" s="16" t="str">
        <f aca="false">IF($C19="","",IF($AA19="Open",MAX($G19-$B$2,0),""))</f>
        <v/>
      </c>
      <c r="S19" s="15" t="str">
        <f aca="false">IF(OR($C19="",$AA19="Open"),"",IF($L19="Closed",-IF($E19="Sell to open",1,-1)*$N19*$E$2*$H19,0))</f>
        <v/>
      </c>
      <c r="T19" s="15" t="str">
        <f aca="false">IF(OR($C19="",$AA19="Open"),"",$O19+$S19-$K19)</f>
        <v/>
      </c>
      <c r="U19" s="15" t="str">
        <f aca="false">IF(OR($C19="",$AA19="Open"),"",IF(AND($C19="Covered call",$L19="Assigned"),($F19-$J19)*$E$2*$H19,0))</f>
        <v/>
      </c>
      <c r="V19" s="15" t="str">
        <f aca="false">IF(OR($C19="",$AA19="Open"),"",$T19+$U19)</f>
        <v/>
      </c>
      <c r="W19" s="15" t="str">
        <f aca="false">IF($C19="","",IF(OR($C19="Long call",$C19="Long put"),$I19*$E$2*$H19,(IF($C19="Covered call",$J19,$F19)-$I19)*$E$2*$H19))</f>
        <v/>
      </c>
      <c r="X19" s="17" t="str">
        <f aca="false">IF(OR($C19="",$AA19="Open"),"",IF($W19&gt;0,$V19/$W19,""))</f>
        <v/>
      </c>
      <c r="Y19" s="17" t="str">
        <f aca="false">IF(OR($C19="",$AA19="Open"),"",IF($W19&gt;0,$X19*365/MAX($Q19,1),""))</f>
        <v/>
      </c>
      <c r="Z19" s="18" t="str">
        <f aca="false">IF(OR($C19="",$AA19="Open"),"",IF($M19&lt;&gt;"",$M19,$G19))</f>
        <v/>
      </c>
      <c r="AA19" s="12" t="str">
        <f aca="false">IF($C19="","",IF(OR($L19="Open",$L19=""),"Open","Realized"))</f>
        <v/>
      </c>
    </row>
    <row r="20" customFormat="false" ht="15" hidden="false" customHeight="false" outlineLevel="0" collapsed="false">
      <c r="A20" s="7"/>
      <c r="B20" s="9"/>
      <c r="C20" s="32"/>
      <c r="D20" s="12" t="str">
        <f aca="false">IF($C20="","",IF(OR($C20="Long call",$C20="Covered call"),"Call","Put"))</f>
        <v/>
      </c>
      <c r="E20" s="12" t="str">
        <f aca="false">IF($C20="","",IF(OR($C20="Long call",$C20="Long put"),"Buy to open","Sell to open"))</f>
        <v/>
      </c>
      <c r="F20" s="13"/>
      <c r="G20" s="7"/>
      <c r="H20" s="14"/>
      <c r="I20" s="13"/>
      <c r="J20" s="13"/>
      <c r="K20" s="13"/>
      <c r="L20" s="32"/>
      <c r="M20" s="7"/>
      <c r="N20" s="13"/>
      <c r="O20" s="15" t="str">
        <f aca="false">IF($C20="","",IF($E20="Sell to open",1,-1)*$I20*$E$2*$H20)</f>
        <v/>
      </c>
      <c r="P20" s="15" t="str">
        <f aca="false">IF($C20="","",IF($C20="Long call",$F20+$I20,IF($C20="Covered call",$J20-$I20,$F20-$I20)))</f>
        <v/>
      </c>
      <c r="Q20" s="16" t="str">
        <f aca="false">IF($C20="","",IF($AA20="Open",$B$2,IF($M20&lt;&gt;"",$M20,$G20))-$A20)</f>
        <v/>
      </c>
      <c r="R20" s="16" t="str">
        <f aca="false">IF($C20="","",IF($AA20="Open",MAX($G20-$B$2,0),""))</f>
        <v/>
      </c>
      <c r="S20" s="15" t="str">
        <f aca="false">IF(OR($C20="",$AA20="Open"),"",IF($L20="Closed",-IF($E20="Sell to open",1,-1)*$N20*$E$2*$H20,0))</f>
        <v/>
      </c>
      <c r="T20" s="15" t="str">
        <f aca="false">IF(OR($C20="",$AA20="Open"),"",$O20+$S20-$K20)</f>
        <v/>
      </c>
      <c r="U20" s="15" t="str">
        <f aca="false">IF(OR($C20="",$AA20="Open"),"",IF(AND($C20="Covered call",$L20="Assigned"),($F20-$J20)*$E$2*$H20,0))</f>
        <v/>
      </c>
      <c r="V20" s="15" t="str">
        <f aca="false">IF(OR($C20="",$AA20="Open"),"",$T20+$U20)</f>
        <v/>
      </c>
      <c r="W20" s="15" t="str">
        <f aca="false">IF($C20="","",IF(OR($C20="Long call",$C20="Long put"),$I20*$E$2*$H20,(IF($C20="Covered call",$J20,$F20)-$I20)*$E$2*$H20))</f>
        <v/>
      </c>
      <c r="X20" s="17" t="str">
        <f aca="false">IF(OR($C20="",$AA20="Open"),"",IF($W20&gt;0,$V20/$W20,""))</f>
        <v/>
      </c>
      <c r="Y20" s="17" t="str">
        <f aca="false">IF(OR($C20="",$AA20="Open"),"",IF($W20&gt;0,$X20*365/MAX($Q20,1),""))</f>
        <v/>
      </c>
      <c r="Z20" s="18" t="str">
        <f aca="false">IF(OR($C20="",$AA20="Open"),"",IF($M20&lt;&gt;"",$M20,$G20))</f>
        <v/>
      </c>
      <c r="AA20" s="12" t="str">
        <f aca="false">IF($C20="","",IF(OR($L20="Open",$L20=""),"Open","Realized"))</f>
        <v/>
      </c>
    </row>
    <row r="21" customFormat="false" ht="15" hidden="false" customHeight="false" outlineLevel="0" collapsed="false">
      <c r="A21" s="7"/>
      <c r="B21" s="9"/>
      <c r="C21" s="32"/>
      <c r="D21" s="12" t="str">
        <f aca="false">IF($C21="","",IF(OR($C21="Long call",$C21="Covered call"),"Call","Put"))</f>
        <v/>
      </c>
      <c r="E21" s="12" t="str">
        <f aca="false">IF($C21="","",IF(OR($C21="Long call",$C21="Long put"),"Buy to open","Sell to open"))</f>
        <v/>
      </c>
      <c r="F21" s="13"/>
      <c r="G21" s="7"/>
      <c r="H21" s="14"/>
      <c r="I21" s="13"/>
      <c r="J21" s="13"/>
      <c r="K21" s="13"/>
      <c r="L21" s="32"/>
      <c r="M21" s="7"/>
      <c r="N21" s="13"/>
      <c r="O21" s="15" t="str">
        <f aca="false">IF($C21="","",IF($E21="Sell to open",1,-1)*$I21*$E$2*$H21)</f>
        <v/>
      </c>
      <c r="P21" s="15" t="str">
        <f aca="false">IF($C21="","",IF($C21="Long call",$F21+$I21,IF($C21="Covered call",$J21-$I21,$F21-$I21)))</f>
        <v/>
      </c>
      <c r="Q21" s="16" t="str">
        <f aca="false">IF($C21="","",IF($AA21="Open",$B$2,IF($M21&lt;&gt;"",$M21,$G21))-$A21)</f>
        <v/>
      </c>
      <c r="R21" s="16" t="str">
        <f aca="false">IF($C21="","",IF($AA21="Open",MAX($G21-$B$2,0),""))</f>
        <v/>
      </c>
      <c r="S21" s="15" t="str">
        <f aca="false">IF(OR($C21="",$AA21="Open"),"",IF($L21="Closed",-IF($E21="Sell to open",1,-1)*$N21*$E$2*$H21,0))</f>
        <v/>
      </c>
      <c r="T21" s="15" t="str">
        <f aca="false">IF(OR($C21="",$AA21="Open"),"",$O21+$S21-$K21)</f>
        <v/>
      </c>
      <c r="U21" s="15" t="str">
        <f aca="false">IF(OR($C21="",$AA21="Open"),"",IF(AND($C21="Covered call",$L21="Assigned"),($F21-$J21)*$E$2*$H21,0))</f>
        <v/>
      </c>
      <c r="V21" s="15" t="str">
        <f aca="false">IF(OR($C21="",$AA21="Open"),"",$T21+$U21)</f>
        <v/>
      </c>
      <c r="W21" s="15" t="str">
        <f aca="false">IF($C21="","",IF(OR($C21="Long call",$C21="Long put"),$I21*$E$2*$H21,(IF($C21="Covered call",$J21,$F21)-$I21)*$E$2*$H21))</f>
        <v/>
      </c>
      <c r="X21" s="17" t="str">
        <f aca="false">IF(OR($C21="",$AA21="Open"),"",IF($W21&gt;0,$V21/$W21,""))</f>
        <v/>
      </c>
      <c r="Y21" s="17" t="str">
        <f aca="false">IF(OR($C21="",$AA21="Open"),"",IF($W21&gt;0,$X21*365/MAX($Q21,1),""))</f>
        <v/>
      </c>
      <c r="Z21" s="18" t="str">
        <f aca="false">IF(OR($C21="",$AA21="Open"),"",IF($M21&lt;&gt;"",$M21,$G21))</f>
        <v/>
      </c>
      <c r="AA21" s="12" t="str">
        <f aca="false">IF($C21="","",IF(OR($L21="Open",$L21=""),"Open","Realized"))</f>
        <v/>
      </c>
    </row>
    <row r="22" customFormat="false" ht="15" hidden="false" customHeight="false" outlineLevel="0" collapsed="false">
      <c r="A22" s="7"/>
      <c r="B22" s="9"/>
      <c r="C22" s="32"/>
      <c r="D22" s="12" t="str">
        <f aca="false">IF($C22="","",IF(OR($C22="Long call",$C22="Covered call"),"Call","Put"))</f>
        <v/>
      </c>
      <c r="E22" s="12" t="str">
        <f aca="false">IF($C22="","",IF(OR($C22="Long call",$C22="Long put"),"Buy to open","Sell to open"))</f>
        <v/>
      </c>
      <c r="F22" s="13"/>
      <c r="G22" s="7"/>
      <c r="H22" s="14"/>
      <c r="I22" s="13"/>
      <c r="J22" s="13"/>
      <c r="K22" s="13"/>
      <c r="L22" s="32"/>
      <c r="M22" s="7"/>
      <c r="N22" s="13"/>
      <c r="O22" s="15" t="str">
        <f aca="false">IF($C22="","",IF($E22="Sell to open",1,-1)*$I22*$E$2*$H22)</f>
        <v/>
      </c>
      <c r="P22" s="15" t="str">
        <f aca="false">IF($C22="","",IF($C22="Long call",$F22+$I22,IF($C22="Covered call",$J22-$I22,$F22-$I22)))</f>
        <v/>
      </c>
      <c r="Q22" s="16" t="str">
        <f aca="false">IF($C22="","",IF($AA22="Open",$B$2,IF($M22&lt;&gt;"",$M22,$G22))-$A22)</f>
        <v/>
      </c>
      <c r="R22" s="16" t="str">
        <f aca="false">IF($C22="","",IF($AA22="Open",MAX($G22-$B$2,0),""))</f>
        <v/>
      </c>
      <c r="S22" s="15" t="str">
        <f aca="false">IF(OR($C22="",$AA22="Open"),"",IF($L22="Closed",-IF($E22="Sell to open",1,-1)*$N22*$E$2*$H22,0))</f>
        <v/>
      </c>
      <c r="T22" s="15" t="str">
        <f aca="false">IF(OR($C22="",$AA22="Open"),"",$O22+$S22-$K22)</f>
        <v/>
      </c>
      <c r="U22" s="15" t="str">
        <f aca="false">IF(OR($C22="",$AA22="Open"),"",IF(AND($C22="Covered call",$L22="Assigned"),($F22-$J22)*$E$2*$H22,0))</f>
        <v/>
      </c>
      <c r="V22" s="15" t="str">
        <f aca="false">IF(OR($C22="",$AA22="Open"),"",$T22+$U22)</f>
        <v/>
      </c>
      <c r="W22" s="15" t="str">
        <f aca="false">IF($C22="","",IF(OR($C22="Long call",$C22="Long put"),$I22*$E$2*$H22,(IF($C22="Covered call",$J22,$F22)-$I22)*$E$2*$H22))</f>
        <v/>
      </c>
      <c r="X22" s="17" t="str">
        <f aca="false">IF(OR($C22="",$AA22="Open"),"",IF($W22&gt;0,$V22/$W22,""))</f>
        <v/>
      </c>
      <c r="Y22" s="17" t="str">
        <f aca="false">IF(OR($C22="",$AA22="Open"),"",IF($W22&gt;0,$X22*365/MAX($Q22,1),""))</f>
        <v/>
      </c>
      <c r="Z22" s="18" t="str">
        <f aca="false">IF(OR($C22="",$AA22="Open"),"",IF($M22&lt;&gt;"",$M22,$G22))</f>
        <v/>
      </c>
      <c r="AA22" s="12" t="str">
        <f aca="false">IF($C22="","",IF(OR($L22="Open",$L22=""),"Open","Realized"))</f>
        <v/>
      </c>
    </row>
    <row r="23" customFormat="false" ht="15" hidden="false" customHeight="false" outlineLevel="0" collapsed="false">
      <c r="A23" s="7"/>
      <c r="B23" s="9"/>
      <c r="C23" s="32"/>
      <c r="D23" s="12" t="str">
        <f aca="false">IF($C23="","",IF(OR($C23="Long call",$C23="Covered call"),"Call","Put"))</f>
        <v/>
      </c>
      <c r="E23" s="12" t="str">
        <f aca="false">IF($C23="","",IF(OR($C23="Long call",$C23="Long put"),"Buy to open","Sell to open"))</f>
        <v/>
      </c>
      <c r="F23" s="13"/>
      <c r="G23" s="7"/>
      <c r="H23" s="14"/>
      <c r="I23" s="13"/>
      <c r="J23" s="13"/>
      <c r="K23" s="13"/>
      <c r="L23" s="32"/>
      <c r="M23" s="7"/>
      <c r="N23" s="13"/>
      <c r="O23" s="15" t="str">
        <f aca="false">IF($C23="","",IF($E23="Sell to open",1,-1)*$I23*$E$2*$H23)</f>
        <v/>
      </c>
      <c r="P23" s="15" t="str">
        <f aca="false">IF($C23="","",IF($C23="Long call",$F23+$I23,IF($C23="Covered call",$J23-$I23,$F23-$I23)))</f>
        <v/>
      </c>
      <c r="Q23" s="16" t="str">
        <f aca="false">IF($C23="","",IF($AA23="Open",$B$2,IF($M23&lt;&gt;"",$M23,$G23))-$A23)</f>
        <v/>
      </c>
      <c r="R23" s="16" t="str">
        <f aca="false">IF($C23="","",IF($AA23="Open",MAX($G23-$B$2,0),""))</f>
        <v/>
      </c>
      <c r="S23" s="15" t="str">
        <f aca="false">IF(OR($C23="",$AA23="Open"),"",IF($L23="Closed",-IF($E23="Sell to open",1,-1)*$N23*$E$2*$H23,0))</f>
        <v/>
      </c>
      <c r="T23" s="15" t="str">
        <f aca="false">IF(OR($C23="",$AA23="Open"),"",$O23+$S23-$K23)</f>
        <v/>
      </c>
      <c r="U23" s="15" t="str">
        <f aca="false">IF(OR($C23="",$AA23="Open"),"",IF(AND($C23="Covered call",$L23="Assigned"),($F23-$J23)*$E$2*$H23,0))</f>
        <v/>
      </c>
      <c r="V23" s="15" t="str">
        <f aca="false">IF(OR($C23="",$AA23="Open"),"",$T23+$U23)</f>
        <v/>
      </c>
      <c r="W23" s="15" t="str">
        <f aca="false">IF($C23="","",IF(OR($C23="Long call",$C23="Long put"),$I23*$E$2*$H23,(IF($C23="Covered call",$J23,$F23)-$I23)*$E$2*$H23))</f>
        <v/>
      </c>
      <c r="X23" s="17" t="str">
        <f aca="false">IF(OR($C23="",$AA23="Open"),"",IF($W23&gt;0,$V23/$W23,""))</f>
        <v/>
      </c>
      <c r="Y23" s="17" t="str">
        <f aca="false">IF(OR($C23="",$AA23="Open"),"",IF($W23&gt;0,$X23*365/MAX($Q23,1),""))</f>
        <v/>
      </c>
      <c r="Z23" s="18" t="str">
        <f aca="false">IF(OR($C23="",$AA23="Open"),"",IF($M23&lt;&gt;"",$M23,$G23))</f>
        <v/>
      </c>
      <c r="AA23" s="12" t="str">
        <f aca="false">IF($C23="","",IF(OR($L23="Open",$L23=""),"Open","Realized"))</f>
        <v/>
      </c>
    </row>
    <row r="24" customFormat="false" ht="15" hidden="false" customHeight="false" outlineLevel="0" collapsed="false">
      <c r="A24" s="7"/>
      <c r="B24" s="9"/>
      <c r="C24" s="32"/>
      <c r="D24" s="12" t="str">
        <f aca="false">IF($C24="","",IF(OR($C24="Long call",$C24="Covered call"),"Call","Put"))</f>
        <v/>
      </c>
      <c r="E24" s="12" t="str">
        <f aca="false">IF($C24="","",IF(OR($C24="Long call",$C24="Long put"),"Buy to open","Sell to open"))</f>
        <v/>
      </c>
      <c r="F24" s="13"/>
      <c r="G24" s="7"/>
      <c r="H24" s="14"/>
      <c r="I24" s="13"/>
      <c r="J24" s="13"/>
      <c r="K24" s="13"/>
      <c r="L24" s="32"/>
      <c r="M24" s="7"/>
      <c r="N24" s="13"/>
      <c r="O24" s="15" t="str">
        <f aca="false">IF($C24="","",IF($E24="Sell to open",1,-1)*$I24*$E$2*$H24)</f>
        <v/>
      </c>
      <c r="P24" s="15" t="str">
        <f aca="false">IF($C24="","",IF($C24="Long call",$F24+$I24,IF($C24="Covered call",$J24-$I24,$F24-$I24)))</f>
        <v/>
      </c>
      <c r="Q24" s="16" t="str">
        <f aca="false">IF($C24="","",IF($AA24="Open",$B$2,IF($M24&lt;&gt;"",$M24,$G24))-$A24)</f>
        <v/>
      </c>
      <c r="R24" s="16" t="str">
        <f aca="false">IF($C24="","",IF($AA24="Open",MAX($G24-$B$2,0),""))</f>
        <v/>
      </c>
      <c r="S24" s="15" t="str">
        <f aca="false">IF(OR($C24="",$AA24="Open"),"",IF($L24="Closed",-IF($E24="Sell to open",1,-1)*$N24*$E$2*$H24,0))</f>
        <v/>
      </c>
      <c r="T24" s="15" t="str">
        <f aca="false">IF(OR($C24="",$AA24="Open"),"",$O24+$S24-$K24)</f>
        <v/>
      </c>
      <c r="U24" s="15" t="str">
        <f aca="false">IF(OR($C24="",$AA24="Open"),"",IF(AND($C24="Covered call",$L24="Assigned"),($F24-$J24)*$E$2*$H24,0))</f>
        <v/>
      </c>
      <c r="V24" s="15" t="str">
        <f aca="false">IF(OR($C24="",$AA24="Open"),"",$T24+$U24)</f>
        <v/>
      </c>
      <c r="W24" s="15" t="str">
        <f aca="false">IF($C24="","",IF(OR($C24="Long call",$C24="Long put"),$I24*$E$2*$H24,(IF($C24="Covered call",$J24,$F24)-$I24)*$E$2*$H24))</f>
        <v/>
      </c>
      <c r="X24" s="17" t="str">
        <f aca="false">IF(OR($C24="",$AA24="Open"),"",IF($W24&gt;0,$V24/$W24,""))</f>
        <v/>
      </c>
      <c r="Y24" s="17" t="str">
        <f aca="false">IF(OR($C24="",$AA24="Open"),"",IF($W24&gt;0,$X24*365/MAX($Q24,1),""))</f>
        <v/>
      </c>
      <c r="Z24" s="18" t="str">
        <f aca="false">IF(OR($C24="",$AA24="Open"),"",IF($M24&lt;&gt;"",$M24,$G24))</f>
        <v/>
      </c>
      <c r="AA24" s="12" t="str">
        <f aca="false">IF($C24="","",IF(OR($L24="Open",$L24=""),"Open","Realized"))</f>
        <v/>
      </c>
    </row>
    <row r="25" customFormat="false" ht="15" hidden="false" customHeight="false" outlineLevel="0" collapsed="false">
      <c r="A25" s="7"/>
      <c r="B25" s="9"/>
      <c r="C25" s="32"/>
      <c r="D25" s="12" t="str">
        <f aca="false">IF($C25="","",IF(OR($C25="Long call",$C25="Covered call"),"Call","Put"))</f>
        <v/>
      </c>
      <c r="E25" s="12" t="str">
        <f aca="false">IF($C25="","",IF(OR($C25="Long call",$C25="Long put"),"Buy to open","Sell to open"))</f>
        <v/>
      </c>
      <c r="F25" s="13"/>
      <c r="G25" s="7"/>
      <c r="H25" s="14"/>
      <c r="I25" s="13"/>
      <c r="J25" s="13"/>
      <c r="K25" s="13"/>
      <c r="L25" s="32"/>
      <c r="M25" s="7"/>
      <c r="N25" s="13"/>
      <c r="O25" s="15" t="str">
        <f aca="false">IF($C25="","",IF($E25="Sell to open",1,-1)*$I25*$E$2*$H25)</f>
        <v/>
      </c>
      <c r="P25" s="15" t="str">
        <f aca="false">IF($C25="","",IF($C25="Long call",$F25+$I25,IF($C25="Covered call",$J25-$I25,$F25-$I25)))</f>
        <v/>
      </c>
      <c r="Q25" s="16" t="str">
        <f aca="false">IF($C25="","",IF($AA25="Open",$B$2,IF($M25&lt;&gt;"",$M25,$G25))-$A25)</f>
        <v/>
      </c>
      <c r="R25" s="16" t="str">
        <f aca="false">IF($C25="","",IF($AA25="Open",MAX($G25-$B$2,0),""))</f>
        <v/>
      </c>
      <c r="S25" s="15" t="str">
        <f aca="false">IF(OR($C25="",$AA25="Open"),"",IF($L25="Closed",-IF($E25="Sell to open",1,-1)*$N25*$E$2*$H25,0))</f>
        <v/>
      </c>
      <c r="T25" s="15" t="str">
        <f aca="false">IF(OR($C25="",$AA25="Open"),"",$O25+$S25-$K25)</f>
        <v/>
      </c>
      <c r="U25" s="15" t="str">
        <f aca="false">IF(OR($C25="",$AA25="Open"),"",IF(AND($C25="Covered call",$L25="Assigned"),($F25-$J25)*$E$2*$H25,0))</f>
        <v/>
      </c>
      <c r="V25" s="15" t="str">
        <f aca="false">IF(OR($C25="",$AA25="Open"),"",$T25+$U25)</f>
        <v/>
      </c>
      <c r="W25" s="15" t="str">
        <f aca="false">IF($C25="","",IF(OR($C25="Long call",$C25="Long put"),$I25*$E$2*$H25,(IF($C25="Covered call",$J25,$F25)-$I25)*$E$2*$H25))</f>
        <v/>
      </c>
      <c r="X25" s="17" t="str">
        <f aca="false">IF(OR($C25="",$AA25="Open"),"",IF($W25&gt;0,$V25/$W25,""))</f>
        <v/>
      </c>
      <c r="Y25" s="17" t="str">
        <f aca="false">IF(OR($C25="",$AA25="Open"),"",IF($W25&gt;0,$X25*365/MAX($Q25,1),""))</f>
        <v/>
      </c>
      <c r="Z25" s="18" t="str">
        <f aca="false">IF(OR($C25="",$AA25="Open"),"",IF($M25&lt;&gt;"",$M25,$G25))</f>
        <v/>
      </c>
      <c r="AA25" s="12" t="str">
        <f aca="false">IF($C25="","",IF(OR($L25="Open",$L25=""),"Open","Realized"))</f>
        <v/>
      </c>
    </row>
    <row r="26" customFormat="false" ht="15" hidden="false" customHeight="false" outlineLevel="0" collapsed="false">
      <c r="A26" s="7"/>
      <c r="B26" s="9"/>
      <c r="C26" s="32"/>
      <c r="D26" s="12" t="str">
        <f aca="false">IF($C26="","",IF(OR($C26="Long call",$C26="Covered call"),"Call","Put"))</f>
        <v/>
      </c>
      <c r="E26" s="12" t="str">
        <f aca="false">IF($C26="","",IF(OR($C26="Long call",$C26="Long put"),"Buy to open","Sell to open"))</f>
        <v/>
      </c>
      <c r="F26" s="13"/>
      <c r="G26" s="7"/>
      <c r="H26" s="14"/>
      <c r="I26" s="13"/>
      <c r="J26" s="13"/>
      <c r="K26" s="13"/>
      <c r="L26" s="32"/>
      <c r="M26" s="7"/>
      <c r="N26" s="13"/>
      <c r="O26" s="15" t="str">
        <f aca="false">IF($C26="","",IF($E26="Sell to open",1,-1)*$I26*$E$2*$H26)</f>
        <v/>
      </c>
      <c r="P26" s="15" t="str">
        <f aca="false">IF($C26="","",IF($C26="Long call",$F26+$I26,IF($C26="Covered call",$J26-$I26,$F26-$I26)))</f>
        <v/>
      </c>
      <c r="Q26" s="16" t="str">
        <f aca="false">IF($C26="","",IF($AA26="Open",$B$2,IF($M26&lt;&gt;"",$M26,$G26))-$A26)</f>
        <v/>
      </c>
      <c r="R26" s="16" t="str">
        <f aca="false">IF($C26="","",IF($AA26="Open",MAX($G26-$B$2,0),""))</f>
        <v/>
      </c>
      <c r="S26" s="15" t="str">
        <f aca="false">IF(OR($C26="",$AA26="Open"),"",IF($L26="Closed",-IF($E26="Sell to open",1,-1)*$N26*$E$2*$H26,0))</f>
        <v/>
      </c>
      <c r="T26" s="15" t="str">
        <f aca="false">IF(OR($C26="",$AA26="Open"),"",$O26+$S26-$K26)</f>
        <v/>
      </c>
      <c r="U26" s="15" t="str">
        <f aca="false">IF(OR($C26="",$AA26="Open"),"",IF(AND($C26="Covered call",$L26="Assigned"),($F26-$J26)*$E$2*$H26,0))</f>
        <v/>
      </c>
      <c r="V26" s="15" t="str">
        <f aca="false">IF(OR($C26="",$AA26="Open"),"",$T26+$U26)</f>
        <v/>
      </c>
      <c r="W26" s="15" t="str">
        <f aca="false">IF($C26="","",IF(OR($C26="Long call",$C26="Long put"),$I26*$E$2*$H26,(IF($C26="Covered call",$J26,$F26)-$I26)*$E$2*$H26))</f>
        <v/>
      </c>
      <c r="X26" s="17" t="str">
        <f aca="false">IF(OR($C26="",$AA26="Open"),"",IF($W26&gt;0,$V26/$W26,""))</f>
        <v/>
      </c>
      <c r="Y26" s="17" t="str">
        <f aca="false">IF(OR($C26="",$AA26="Open"),"",IF($W26&gt;0,$X26*365/MAX($Q26,1),""))</f>
        <v/>
      </c>
      <c r="Z26" s="18" t="str">
        <f aca="false">IF(OR($C26="",$AA26="Open"),"",IF($M26&lt;&gt;"",$M26,$G26))</f>
        <v/>
      </c>
      <c r="AA26" s="12" t="str">
        <f aca="false">IF($C26="","",IF(OR($L26="Open",$L26=""),"Open","Realized"))</f>
        <v/>
      </c>
    </row>
    <row r="27" customFormat="false" ht="15" hidden="false" customHeight="false" outlineLevel="0" collapsed="false">
      <c r="A27" s="7"/>
      <c r="B27" s="9"/>
      <c r="C27" s="32"/>
      <c r="D27" s="12" t="str">
        <f aca="false">IF($C27="","",IF(OR($C27="Long call",$C27="Covered call"),"Call","Put"))</f>
        <v/>
      </c>
      <c r="E27" s="12" t="str">
        <f aca="false">IF($C27="","",IF(OR($C27="Long call",$C27="Long put"),"Buy to open","Sell to open"))</f>
        <v/>
      </c>
      <c r="F27" s="13"/>
      <c r="G27" s="7"/>
      <c r="H27" s="14"/>
      <c r="I27" s="13"/>
      <c r="J27" s="13"/>
      <c r="K27" s="13"/>
      <c r="L27" s="32"/>
      <c r="M27" s="7"/>
      <c r="N27" s="13"/>
      <c r="O27" s="15" t="str">
        <f aca="false">IF($C27="","",IF($E27="Sell to open",1,-1)*$I27*$E$2*$H27)</f>
        <v/>
      </c>
      <c r="P27" s="15" t="str">
        <f aca="false">IF($C27="","",IF($C27="Long call",$F27+$I27,IF($C27="Covered call",$J27-$I27,$F27-$I27)))</f>
        <v/>
      </c>
      <c r="Q27" s="16" t="str">
        <f aca="false">IF($C27="","",IF($AA27="Open",$B$2,IF($M27&lt;&gt;"",$M27,$G27))-$A27)</f>
        <v/>
      </c>
      <c r="R27" s="16" t="str">
        <f aca="false">IF($C27="","",IF($AA27="Open",MAX($G27-$B$2,0),""))</f>
        <v/>
      </c>
      <c r="S27" s="15" t="str">
        <f aca="false">IF(OR($C27="",$AA27="Open"),"",IF($L27="Closed",-IF($E27="Sell to open",1,-1)*$N27*$E$2*$H27,0))</f>
        <v/>
      </c>
      <c r="T27" s="15" t="str">
        <f aca="false">IF(OR($C27="",$AA27="Open"),"",$O27+$S27-$K27)</f>
        <v/>
      </c>
      <c r="U27" s="15" t="str">
        <f aca="false">IF(OR($C27="",$AA27="Open"),"",IF(AND($C27="Covered call",$L27="Assigned"),($F27-$J27)*$E$2*$H27,0))</f>
        <v/>
      </c>
      <c r="V27" s="15" t="str">
        <f aca="false">IF(OR($C27="",$AA27="Open"),"",$T27+$U27)</f>
        <v/>
      </c>
      <c r="W27" s="15" t="str">
        <f aca="false">IF($C27="","",IF(OR($C27="Long call",$C27="Long put"),$I27*$E$2*$H27,(IF($C27="Covered call",$J27,$F27)-$I27)*$E$2*$H27))</f>
        <v/>
      </c>
      <c r="X27" s="17" t="str">
        <f aca="false">IF(OR($C27="",$AA27="Open"),"",IF($W27&gt;0,$V27/$W27,""))</f>
        <v/>
      </c>
      <c r="Y27" s="17" t="str">
        <f aca="false">IF(OR($C27="",$AA27="Open"),"",IF($W27&gt;0,$X27*365/MAX($Q27,1),""))</f>
        <v/>
      </c>
      <c r="Z27" s="18" t="str">
        <f aca="false">IF(OR($C27="",$AA27="Open"),"",IF($M27&lt;&gt;"",$M27,$G27))</f>
        <v/>
      </c>
      <c r="AA27" s="12" t="str">
        <f aca="false">IF($C27="","",IF(OR($L27="Open",$L27=""),"Open","Realized"))</f>
        <v/>
      </c>
    </row>
    <row r="28" customFormat="false" ht="15" hidden="false" customHeight="false" outlineLevel="0" collapsed="false">
      <c r="A28" s="7"/>
      <c r="B28" s="9"/>
      <c r="C28" s="32"/>
      <c r="D28" s="12" t="str">
        <f aca="false">IF($C28="","",IF(OR($C28="Long call",$C28="Covered call"),"Call","Put"))</f>
        <v/>
      </c>
      <c r="E28" s="12" t="str">
        <f aca="false">IF($C28="","",IF(OR($C28="Long call",$C28="Long put"),"Buy to open","Sell to open"))</f>
        <v/>
      </c>
      <c r="F28" s="13"/>
      <c r="G28" s="7"/>
      <c r="H28" s="14"/>
      <c r="I28" s="13"/>
      <c r="J28" s="13"/>
      <c r="K28" s="13"/>
      <c r="L28" s="32"/>
      <c r="M28" s="7"/>
      <c r="N28" s="13"/>
      <c r="O28" s="15" t="str">
        <f aca="false">IF($C28="","",IF($E28="Sell to open",1,-1)*$I28*$E$2*$H28)</f>
        <v/>
      </c>
      <c r="P28" s="15" t="str">
        <f aca="false">IF($C28="","",IF($C28="Long call",$F28+$I28,IF($C28="Covered call",$J28-$I28,$F28-$I28)))</f>
        <v/>
      </c>
      <c r="Q28" s="16" t="str">
        <f aca="false">IF($C28="","",IF($AA28="Open",$B$2,IF($M28&lt;&gt;"",$M28,$G28))-$A28)</f>
        <v/>
      </c>
      <c r="R28" s="16" t="str">
        <f aca="false">IF($C28="","",IF($AA28="Open",MAX($G28-$B$2,0),""))</f>
        <v/>
      </c>
      <c r="S28" s="15" t="str">
        <f aca="false">IF(OR($C28="",$AA28="Open"),"",IF($L28="Closed",-IF($E28="Sell to open",1,-1)*$N28*$E$2*$H28,0))</f>
        <v/>
      </c>
      <c r="T28" s="15" t="str">
        <f aca="false">IF(OR($C28="",$AA28="Open"),"",$O28+$S28-$K28)</f>
        <v/>
      </c>
      <c r="U28" s="15" t="str">
        <f aca="false">IF(OR($C28="",$AA28="Open"),"",IF(AND($C28="Covered call",$L28="Assigned"),($F28-$J28)*$E$2*$H28,0))</f>
        <v/>
      </c>
      <c r="V28" s="15" t="str">
        <f aca="false">IF(OR($C28="",$AA28="Open"),"",$T28+$U28)</f>
        <v/>
      </c>
      <c r="W28" s="15" t="str">
        <f aca="false">IF($C28="","",IF(OR($C28="Long call",$C28="Long put"),$I28*$E$2*$H28,(IF($C28="Covered call",$J28,$F28)-$I28)*$E$2*$H28))</f>
        <v/>
      </c>
      <c r="X28" s="17" t="str">
        <f aca="false">IF(OR($C28="",$AA28="Open"),"",IF($W28&gt;0,$V28/$W28,""))</f>
        <v/>
      </c>
      <c r="Y28" s="17" t="str">
        <f aca="false">IF(OR($C28="",$AA28="Open"),"",IF($W28&gt;0,$X28*365/MAX($Q28,1),""))</f>
        <v/>
      </c>
      <c r="Z28" s="18" t="str">
        <f aca="false">IF(OR($C28="",$AA28="Open"),"",IF($M28&lt;&gt;"",$M28,$G28))</f>
        <v/>
      </c>
      <c r="AA28" s="12" t="str">
        <f aca="false">IF($C28="","",IF(OR($L28="Open",$L28=""),"Open","Realized"))</f>
        <v/>
      </c>
    </row>
    <row r="29" customFormat="false" ht="15" hidden="false" customHeight="false" outlineLevel="0" collapsed="false">
      <c r="A29" s="7"/>
      <c r="B29" s="9"/>
      <c r="C29" s="32"/>
      <c r="D29" s="12" t="str">
        <f aca="false">IF($C29="","",IF(OR($C29="Long call",$C29="Covered call"),"Call","Put"))</f>
        <v/>
      </c>
      <c r="E29" s="12" t="str">
        <f aca="false">IF($C29="","",IF(OR($C29="Long call",$C29="Long put"),"Buy to open","Sell to open"))</f>
        <v/>
      </c>
      <c r="F29" s="13"/>
      <c r="G29" s="7"/>
      <c r="H29" s="14"/>
      <c r="I29" s="13"/>
      <c r="J29" s="13"/>
      <c r="K29" s="13"/>
      <c r="L29" s="32"/>
      <c r="M29" s="7"/>
      <c r="N29" s="13"/>
      <c r="O29" s="15" t="str">
        <f aca="false">IF($C29="","",IF($E29="Sell to open",1,-1)*$I29*$E$2*$H29)</f>
        <v/>
      </c>
      <c r="P29" s="15" t="str">
        <f aca="false">IF($C29="","",IF($C29="Long call",$F29+$I29,IF($C29="Covered call",$J29-$I29,$F29-$I29)))</f>
        <v/>
      </c>
      <c r="Q29" s="16" t="str">
        <f aca="false">IF($C29="","",IF($AA29="Open",$B$2,IF($M29&lt;&gt;"",$M29,$G29))-$A29)</f>
        <v/>
      </c>
      <c r="R29" s="16" t="str">
        <f aca="false">IF($C29="","",IF($AA29="Open",MAX($G29-$B$2,0),""))</f>
        <v/>
      </c>
      <c r="S29" s="15" t="str">
        <f aca="false">IF(OR($C29="",$AA29="Open"),"",IF($L29="Closed",-IF($E29="Sell to open",1,-1)*$N29*$E$2*$H29,0))</f>
        <v/>
      </c>
      <c r="T29" s="15" t="str">
        <f aca="false">IF(OR($C29="",$AA29="Open"),"",$O29+$S29-$K29)</f>
        <v/>
      </c>
      <c r="U29" s="15" t="str">
        <f aca="false">IF(OR($C29="",$AA29="Open"),"",IF(AND($C29="Covered call",$L29="Assigned"),($F29-$J29)*$E$2*$H29,0))</f>
        <v/>
      </c>
      <c r="V29" s="15" t="str">
        <f aca="false">IF(OR($C29="",$AA29="Open"),"",$T29+$U29)</f>
        <v/>
      </c>
      <c r="W29" s="15" t="str">
        <f aca="false">IF($C29="","",IF(OR($C29="Long call",$C29="Long put"),$I29*$E$2*$H29,(IF($C29="Covered call",$J29,$F29)-$I29)*$E$2*$H29))</f>
        <v/>
      </c>
      <c r="X29" s="17" t="str">
        <f aca="false">IF(OR($C29="",$AA29="Open"),"",IF($W29&gt;0,$V29/$W29,""))</f>
        <v/>
      </c>
      <c r="Y29" s="17" t="str">
        <f aca="false">IF(OR($C29="",$AA29="Open"),"",IF($W29&gt;0,$X29*365/MAX($Q29,1),""))</f>
        <v/>
      </c>
      <c r="Z29" s="18" t="str">
        <f aca="false">IF(OR($C29="",$AA29="Open"),"",IF($M29&lt;&gt;"",$M29,$G29))</f>
        <v/>
      </c>
      <c r="AA29" s="12" t="str">
        <f aca="false">IF($C29="","",IF(OR($L29="Open",$L29=""),"Open","Realized"))</f>
        <v/>
      </c>
    </row>
    <row r="30" customFormat="false" ht="15" hidden="false" customHeight="false" outlineLevel="0" collapsed="false">
      <c r="A30" s="7"/>
      <c r="B30" s="9"/>
      <c r="C30" s="32"/>
      <c r="D30" s="12" t="str">
        <f aca="false">IF($C30="","",IF(OR($C30="Long call",$C30="Covered call"),"Call","Put"))</f>
        <v/>
      </c>
      <c r="E30" s="12" t="str">
        <f aca="false">IF($C30="","",IF(OR($C30="Long call",$C30="Long put"),"Buy to open","Sell to open"))</f>
        <v/>
      </c>
      <c r="F30" s="13"/>
      <c r="G30" s="7"/>
      <c r="H30" s="14"/>
      <c r="I30" s="13"/>
      <c r="J30" s="13"/>
      <c r="K30" s="13"/>
      <c r="L30" s="32"/>
      <c r="M30" s="7"/>
      <c r="N30" s="13"/>
      <c r="O30" s="15" t="str">
        <f aca="false">IF($C30="","",IF($E30="Sell to open",1,-1)*$I30*$E$2*$H30)</f>
        <v/>
      </c>
      <c r="P30" s="15" t="str">
        <f aca="false">IF($C30="","",IF($C30="Long call",$F30+$I30,IF($C30="Covered call",$J30-$I30,$F30-$I30)))</f>
        <v/>
      </c>
      <c r="Q30" s="16" t="str">
        <f aca="false">IF($C30="","",IF($AA30="Open",$B$2,IF($M30&lt;&gt;"",$M30,$G30))-$A30)</f>
        <v/>
      </c>
      <c r="R30" s="16" t="str">
        <f aca="false">IF($C30="","",IF($AA30="Open",MAX($G30-$B$2,0),""))</f>
        <v/>
      </c>
      <c r="S30" s="15" t="str">
        <f aca="false">IF(OR($C30="",$AA30="Open"),"",IF($L30="Closed",-IF($E30="Sell to open",1,-1)*$N30*$E$2*$H30,0))</f>
        <v/>
      </c>
      <c r="T30" s="15" t="str">
        <f aca="false">IF(OR($C30="",$AA30="Open"),"",$O30+$S30-$K30)</f>
        <v/>
      </c>
      <c r="U30" s="15" t="str">
        <f aca="false">IF(OR($C30="",$AA30="Open"),"",IF(AND($C30="Covered call",$L30="Assigned"),($F30-$J30)*$E$2*$H30,0))</f>
        <v/>
      </c>
      <c r="V30" s="15" t="str">
        <f aca="false">IF(OR($C30="",$AA30="Open"),"",$T30+$U30)</f>
        <v/>
      </c>
      <c r="W30" s="15" t="str">
        <f aca="false">IF($C30="","",IF(OR($C30="Long call",$C30="Long put"),$I30*$E$2*$H30,(IF($C30="Covered call",$J30,$F30)-$I30)*$E$2*$H30))</f>
        <v/>
      </c>
      <c r="X30" s="17" t="str">
        <f aca="false">IF(OR($C30="",$AA30="Open"),"",IF($W30&gt;0,$V30/$W30,""))</f>
        <v/>
      </c>
      <c r="Y30" s="17" t="str">
        <f aca="false">IF(OR($C30="",$AA30="Open"),"",IF($W30&gt;0,$X30*365/MAX($Q30,1),""))</f>
        <v/>
      </c>
      <c r="Z30" s="18" t="str">
        <f aca="false">IF(OR($C30="",$AA30="Open"),"",IF($M30&lt;&gt;"",$M30,$G30))</f>
        <v/>
      </c>
      <c r="AA30" s="12" t="str">
        <f aca="false">IF($C30="","",IF(OR($L30="Open",$L30=""),"Open","Realized"))</f>
        <v/>
      </c>
    </row>
    <row r="31" customFormat="false" ht="15" hidden="false" customHeight="false" outlineLevel="0" collapsed="false">
      <c r="A31" s="7"/>
      <c r="B31" s="9"/>
      <c r="C31" s="32"/>
      <c r="D31" s="12" t="str">
        <f aca="false">IF($C31="","",IF(OR($C31="Long call",$C31="Covered call"),"Call","Put"))</f>
        <v/>
      </c>
      <c r="E31" s="12" t="str">
        <f aca="false">IF($C31="","",IF(OR($C31="Long call",$C31="Long put"),"Buy to open","Sell to open"))</f>
        <v/>
      </c>
      <c r="F31" s="13"/>
      <c r="G31" s="7"/>
      <c r="H31" s="14"/>
      <c r="I31" s="13"/>
      <c r="J31" s="13"/>
      <c r="K31" s="13"/>
      <c r="L31" s="32"/>
      <c r="M31" s="7"/>
      <c r="N31" s="13"/>
      <c r="O31" s="15" t="str">
        <f aca="false">IF($C31="","",IF($E31="Sell to open",1,-1)*$I31*$E$2*$H31)</f>
        <v/>
      </c>
      <c r="P31" s="15" t="str">
        <f aca="false">IF($C31="","",IF($C31="Long call",$F31+$I31,IF($C31="Covered call",$J31-$I31,$F31-$I31)))</f>
        <v/>
      </c>
      <c r="Q31" s="16" t="str">
        <f aca="false">IF($C31="","",IF($AA31="Open",$B$2,IF($M31&lt;&gt;"",$M31,$G31))-$A31)</f>
        <v/>
      </c>
      <c r="R31" s="16" t="str">
        <f aca="false">IF($C31="","",IF($AA31="Open",MAX($G31-$B$2,0),""))</f>
        <v/>
      </c>
      <c r="S31" s="15" t="str">
        <f aca="false">IF(OR($C31="",$AA31="Open"),"",IF($L31="Closed",-IF($E31="Sell to open",1,-1)*$N31*$E$2*$H31,0))</f>
        <v/>
      </c>
      <c r="T31" s="15" t="str">
        <f aca="false">IF(OR($C31="",$AA31="Open"),"",$O31+$S31-$K31)</f>
        <v/>
      </c>
      <c r="U31" s="15" t="str">
        <f aca="false">IF(OR($C31="",$AA31="Open"),"",IF(AND($C31="Covered call",$L31="Assigned"),($F31-$J31)*$E$2*$H31,0))</f>
        <v/>
      </c>
      <c r="V31" s="15" t="str">
        <f aca="false">IF(OR($C31="",$AA31="Open"),"",$T31+$U31)</f>
        <v/>
      </c>
      <c r="W31" s="15" t="str">
        <f aca="false">IF($C31="","",IF(OR($C31="Long call",$C31="Long put"),$I31*$E$2*$H31,(IF($C31="Covered call",$J31,$F31)-$I31)*$E$2*$H31))</f>
        <v/>
      </c>
      <c r="X31" s="17" t="str">
        <f aca="false">IF(OR($C31="",$AA31="Open"),"",IF($W31&gt;0,$V31/$W31,""))</f>
        <v/>
      </c>
      <c r="Y31" s="17" t="str">
        <f aca="false">IF(OR($C31="",$AA31="Open"),"",IF($W31&gt;0,$X31*365/MAX($Q31,1),""))</f>
        <v/>
      </c>
      <c r="Z31" s="18" t="str">
        <f aca="false">IF(OR($C31="",$AA31="Open"),"",IF($M31&lt;&gt;"",$M31,$G31))</f>
        <v/>
      </c>
      <c r="AA31" s="12" t="str">
        <f aca="false">IF($C31="","",IF(OR($L31="Open",$L31=""),"Open","Realized"))</f>
        <v/>
      </c>
    </row>
    <row r="32" customFormat="false" ht="15" hidden="false" customHeight="false" outlineLevel="0" collapsed="false">
      <c r="A32" s="7"/>
      <c r="B32" s="9"/>
      <c r="C32" s="32"/>
      <c r="D32" s="12" t="str">
        <f aca="false">IF($C32="","",IF(OR($C32="Long call",$C32="Covered call"),"Call","Put"))</f>
        <v/>
      </c>
      <c r="E32" s="12" t="str">
        <f aca="false">IF($C32="","",IF(OR($C32="Long call",$C32="Long put"),"Buy to open","Sell to open"))</f>
        <v/>
      </c>
      <c r="F32" s="13"/>
      <c r="G32" s="7"/>
      <c r="H32" s="14"/>
      <c r="I32" s="13"/>
      <c r="J32" s="13"/>
      <c r="K32" s="13"/>
      <c r="L32" s="32"/>
      <c r="M32" s="7"/>
      <c r="N32" s="13"/>
      <c r="O32" s="15" t="str">
        <f aca="false">IF($C32="","",IF($E32="Sell to open",1,-1)*$I32*$E$2*$H32)</f>
        <v/>
      </c>
      <c r="P32" s="15" t="str">
        <f aca="false">IF($C32="","",IF($C32="Long call",$F32+$I32,IF($C32="Covered call",$J32-$I32,$F32-$I32)))</f>
        <v/>
      </c>
      <c r="Q32" s="16" t="str">
        <f aca="false">IF($C32="","",IF($AA32="Open",$B$2,IF($M32&lt;&gt;"",$M32,$G32))-$A32)</f>
        <v/>
      </c>
      <c r="R32" s="16" t="str">
        <f aca="false">IF($C32="","",IF($AA32="Open",MAX($G32-$B$2,0),""))</f>
        <v/>
      </c>
      <c r="S32" s="15" t="str">
        <f aca="false">IF(OR($C32="",$AA32="Open"),"",IF($L32="Closed",-IF($E32="Sell to open",1,-1)*$N32*$E$2*$H32,0))</f>
        <v/>
      </c>
      <c r="T32" s="15" t="str">
        <f aca="false">IF(OR($C32="",$AA32="Open"),"",$O32+$S32-$K32)</f>
        <v/>
      </c>
      <c r="U32" s="15" t="str">
        <f aca="false">IF(OR($C32="",$AA32="Open"),"",IF(AND($C32="Covered call",$L32="Assigned"),($F32-$J32)*$E$2*$H32,0))</f>
        <v/>
      </c>
      <c r="V32" s="15" t="str">
        <f aca="false">IF(OR($C32="",$AA32="Open"),"",$T32+$U32)</f>
        <v/>
      </c>
      <c r="W32" s="15" t="str">
        <f aca="false">IF($C32="","",IF(OR($C32="Long call",$C32="Long put"),$I32*$E$2*$H32,(IF($C32="Covered call",$J32,$F32)-$I32)*$E$2*$H32))</f>
        <v/>
      </c>
      <c r="X32" s="17" t="str">
        <f aca="false">IF(OR($C32="",$AA32="Open"),"",IF($W32&gt;0,$V32/$W32,""))</f>
        <v/>
      </c>
      <c r="Y32" s="17" t="str">
        <f aca="false">IF(OR($C32="",$AA32="Open"),"",IF($W32&gt;0,$X32*365/MAX($Q32,1),""))</f>
        <v/>
      </c>
      <c r="Z32" s="18" t="str">
        <f aca="false">IF(OR($C32="",$AA32="Open"),"",IF($M32&lt;&gt;"",$M32,$G32))</f>
        <v/>
      </c>
      <c r="AA32" s="12" t="str">
        <f aca="false">IF($C32="","",IF(OR($L32="Open",$L32=""),"Open","Realized"))</f>
        <v/>
      </c>
    </row>
    <row r="33" customFormat="false" ht="15" hidden="false" customHeight="false" outlineLevel="0" collapsed="false">
      <c r="A33" s="7"/>
      <c r="B33" s="9"/>
      <c r="C33" s="32"/>
      <c r="D33" s="12" t="str">
        <f aca="false">IF($C33="","",IF(OR($C33="Long call",$C33="Covered call"),"Call","Put"))</f>
        <v/>
      </c>
      <c r="E33" s="12" t="str">
        <f aca="false">IF($C33="","",IF(OR($C33="Long call",$C33="Long put"),"Buy to open","Sell to open"))</f>
        <v/>
      </c>
      <c r="F33" s="13"/>
      <c r="G33" s="7"/>
      <c r="H33" s="14"/>
      <c r="I33" s="13"/>
      <c r="J33" s="13"/>
      <c r="K33" s="13"/>
      <c r="L33" s="32"/>
      <c r="M33" s="7"/>
      <c r="N33" s="13"/>
      <c r="O33" s="15" t="str">
        <f aca="false">IF($C33="","",IF($E33="Sell to open",1,-1)*$I33*$E$2*$H33)</f>
        <v/>
      </c>
      <c r="P33" s="15" t="str">
        <f aca="false">IF($C33="","",IF($C33="Long call",$F33+$I33,IF($C33="Covered call",$J33-$I33,$F33-$I33)))</f>
        <v/>
      </c>
      <c r="Q33" s="16" t="str">
        <f aca="false">IF($C33="","",IF($AA33="Open",$B$2,IF($M33&lt;&gt;"",$M33,$G33))-$A33)</f>
        <v/>
      </c>
      <c r="R33" s="16" t="str">
        <f aca="false">IF($C33="","",IF($AA33="Open",MAX($G33-$B$2,0),""))</f>
        <v/>
      </c>
      <c r="S33" s="15" t="str">
        <f aca="false">IF(OR($C33="",$AA33="Open"),"",IF($L33="Closed",-IF($E33="Sell to open",1,-1)*$N33*$E$2*$H33,0))</f>
        <v/>
      </c>
      <c r="T33" s="15" t="str">
        <f aca="false">IF(OR($C33="",$AA33="Open"),"",$O33+$S33-$K33)</f>
        <v/>
      </c>
      <c r="U33" s="15" t="str">
        <f aca="false">IF(OR($C33="",$AA33="Open"),"",IF(AND($C33="Covered call",$L33="Assigned"),($F33-$J33)*$E$2*$H33,0))</f>
        <v/>
      </c>
      <c r="V33" s="15" t="str">
        <f aca="false">IF(OR($C33="",$AA33="Open"),"",$T33+$U33)</f>
        <v/>
      </c>
      <c r="W33" s="15" t="str">
        <f aca="false">IF($C33="","",IF(OR($C33="Long call",$C33="Long put"),$I33*$E$2*$H33,(IF($C33="Covered call",$J33,$F33)-$I33)*$E$2*$H33))</f>
        <v/>
      </c>
      <c r="X33" s="17" t="str">
        <f aca="false">IF(OR($C33="",$AA33="Open"),"",IF($W33&gt;0,$V33/$W33,""))</f>
        <v/>
      </c>
      <c r="Y33" s="17" t="str">
        <f aca="false">IF(OR($C33="",$AA33="Open"),"",IF($W33&gt;0,$X33*365/MAX($Q33,1),""))</f>
        <v/>
      </c>
      <c r="Z33" s="18" t="str">
        <f aca="false">IF(OR($C33="",$AA33="Open"),"",IF($M33&lt;&gt;"",$M33,$G33))</f>
        <v/>
      </c>
      <c r="AA33" s="12" t="str">
        <f aca="false">IF($C33="","",IF(OR($L33="Open",$L33=""),"Open","Realized"))</f>
        <v/>
      </c>
    </row>
    <row r="34" customFormat="false" ht="15" hidden="false" customHeight="false" outlineLevel="0" collapsed="false">
      <c r="A34" s="7"/>
      <c r="B34" s="9"/>
      <c r="C34" s="32"/>
      <c r="D34" s="12" t="str">
        <f aca="false">IF($C34="","",IF(OR($C34="Long call",$C34="Covered call"),"Call","Put"))</f>
        <v/>
      </c>
      <c r="E34" s="12" t="str">
        <f aca="false">IF($C34="","",IF(OR($C34="Long call",$C34="Long put"),"Buy to open","Sell to open"))</f>
        <v/>
      </c>
      <c r="F34" s="13"/>
      <c r="G34" s="7"/>
      <c r="H34" s="14"/>
      <c r="I34" s="13"/>
      <c r="J34" s="13"/>
      <c r="K34" s="13"/>
      <c r="L34" s="32"/>
      <c r="M34" s="7"/>
      <c r="N34" s="13"/>
      <c r="O34" s="15" t="str">
        <f aca="false">IF($C34="","",IF($E34="Sell to open",1,-1)*$I34*$E$2*$H34)</f>
        <v/>
      </c>
      <c r="P34" s="15" t="str">
        <f aca="false">IF($C34="","",IF($C34="Long call",$F34+$I34,IF($C34="Covered call",$J34-$I34,$F34-$I34)))</f>
        <v/>
      </c>
      <c r="Q34" s="16" t="str">
        <f aca="false">IF($C34="","",IF($AA34="Open",$B$2,IF($M34&lt;&gt;"",$M34,$G34))-$A34)</f>
        <v/>
      </c>
      <c r="R34" s="16" t="str">
        <f aca="false">IF($C34="","",IF($AA34="Open",MAX($G34-$B$2,0),""))</f>
        <v/>
      </c>
      <c r="S34" s="15" t="str">
        <f aca="false">IF(OR($C34="",$AA34="Open"),"",IF($L34="Closed",-IF($E34="Sell to open",1,-1)*$N34*$E$2*$H34,0))</f>
        <v/>
      </c>
      <c r="T34" s="15" t="str">
        <f aca="false">IF(OR($C34="",$AA34="Open"),"",$O34+$S34-$K34)</f>
        <v/>
      </c>
      <c r="U34" s="15" t="str">
        <f aca="false">IF(OR($C34="",$AA34="Open"),"",IF(AND($C34="Covered call",$L34="Assigned"),($F34-$J34)*$E$2*$H34,0))</f>
        <v/>
      </c>
      <c r="V34" s="15" t="str">
        <f aca="false">IF(OR($C34="",$AA34="Open"),"",$T34+$U34)</f>
        <v/>
      </c>
      <c r="W34" s="15" t="str">
        <f aca="false">IF($C34="","",IF(OR($C34="Long call",$C34="Long put"),$I34*$E$2*$H34,(IF($C34="Covered call",$J34,$F34)-$I34)*$E$2*$H34))</f>
        <v/>
      </c>
      <c r="X34" s="17" t="str">
        <f aca="false">IF(OR($C34="",$AA34="Open"),"",IF($W34&gt;0,$V34/$W34,""))</f>
        <v/>
      </c>
      <c r="Y34" s="17" t="str">
        <f aca="false">IF(OR($C34="",$AA34="Open"),"",IF($W34&gt;0,$X34*365/MAX($Q34,1),""))</f>
        <v/>
      </c>
      <c r="Z34" s="18" t="str">
        <f aca="false">IF(OR($C34="",$AA34="Open"),"",IF($M34&lt;&gt;"",$M34,$G34))</f>
        <v/>
      </c>
      <c r="AA34" s="12" t="str">
        <f aca="false">IF($C34="","",IF(OR($L34="Open",$L34=""),"Open","Realized"))</f>
        <v/>
      </c>
    </row>
    <row r="35" customFormat="false" ht="15" hidden="false" customHeight="false" outlineLevel="0" collapsed="false">
      <c r="A35" s="7"/>
      <c r="B35" s="9"/>
      <c r="C35" s="32"/>
      <c r="D35" s="12" t="str">
        <f aca="false">IF($C35="","",IF(OR($C35="Long call",$C35="Covered call"),"Call","Put"))</f>
        <v/>
      </c>
      <c r="E35" s="12" t="str">
        <f aca="false">IF($C35="","",IF(OR($C35="Long call",$C35="Long put"),"Buy to open","Sell to open"))</f>
        <v/>
      </c>
      <c r="F35" s="13"/>
      <c r="G35" s="7"/>
      <c r="H35" s="14"/>
      <c r="I35" s="13"/>
      <c r="J35" s="13"/>
      <c r="K35" s="13"/>
      <c r="L35" s="32"/>
      <c r="M35" s="7"/>
      <c r="N35" s="13"/>
      <c r="O35" s="15" t="str">
        <f aca="false">IF($C35="","",IF($E35="Sell to open",1,-1)*$I35*$E$2*$H35)</f>
        <v/>
      </c>
      <c r="P35" s="15" t="str">
        <f aca="false">IF($C35="","",IF($C35="Long call",$F35+$I35,IF($C35="Covered call",$J35-$I35,$F35-$I35)))</f>
        <v/>
      </c>
      <c r="Q35" s="16" t="str">
        <f aca="false">IF($C35="","",IF($AA35="Open",$B$2,IF($M35&lt;&gt;"",$M35,$G35))-$A35)</f>
        <v/>
      </c>
      <c r="R35" s="16" t="str">
        <f aca="false">IF($C35="","",IF($AA35="Open",MAX($G35-$B$2,0),""))</f>
        <v/>
      </c>
      <c r="S35" s="15" t="str">
        <f aca="false">IF(OR($C35="",$AA35="Open"),"",IF($L35="Closed",-IF($E35="Sell to open",1,-1)*$N35*$E$2*$H35,0))</f>
        <v/>
      </c>
      <c r="T35" s="15" t="str">
        <f aca="false">IF(OR($C35="",$AA35="Open"),"",$O35+$S35-$K35)</f>
        <v/>
      </c>
      <c r="U35" s="15" t="str">
        <f aca="false">IF(OR($C35="",$AA35="Open"),"",IF(AND($C35="Covered call",$L35="Assigned"),($F35-$J35)*$E$2*$H35,0))</f>
        <v/>
      </c>
      <c r="V35" s="15" t="str">
        <f aca="false">IF(OR($C35="",$AA35="Open"),"",$T35+$U35)</f>
        <v/>
      </c>
      <c r="W35" s="15" t="str">
        <f aca="false">IF($C35="","",IF(OR($C35="Long call",$C35="Long put"),$I35*$E$2*$H35,(IF($C35="Covered call",$J35,$F35)-$I35)*$E$2*$H35))</f>
        <v/>
      </c>
      <c r="X35" s="17" t="str">
        <f aca="false">IF(OR($C35="",$AA35="Open"),"",IF($W35&gt;0,$V35/$W35,""))</f>
        <v/>
      </c>
      <c r="Y35" s="17" t="str">
        <f aca="false">IF(OR($C35="",$AA35="Open"),"",IF($W35&gt;0,$X35*365/MAX($Q35,1),""))</f>
        <v/>
      </c>
      <c r="Z35" s="18" t="str">
        <f aca="false">IF(OR($C35="",$AA35="Open"),"",IF($M35&lt;&gt;"",$M35,$G35))</f>
        <v/>
      </c>
      <c r="AA35" s="12" t="str">
        <f aca="false">IF($C35="","",IF(OR($L35="Open",$L35=""),"Open","Realized"))</f>
        <v/>
      </c>
    </row>
    <row r="36" customFormat="false" ht="15" hidden="false" customHeight="false" outlineLevel="0" collapsed="false">
      <c r="A36" s="7"/>
      <c r="B36" s="9"/>
      <c r="C36" s="32"/>
      <c r="D36" s="12" t="str">
        <f aca="false">IF($C36="","",IF(OR($C36="Long call",$C36="Covered call"),"Call","Put"))</f>
        <v/>
      </c>
      <c r="E36" s="12" t="str">
        <f aca="false">IF($C36="","",IF(OR($C36="Long call",$C36="Long put"),"Buy to open","Sell to open"))</f>
        <v/>
      </c>
      <c r="F36" s="13"/>
      <c r="G36" s="7"/>
      <c r="H36" s="14"/>
      <c r="I36" s="13"/>
      <c r="J36" s="13"/>
      <c r="K36" s="13"/>
      <c r="L36" s="32"/>
      <c r="M36" s="7"/>
      <c r="N36" s="13"/>
      <c r="O36" s="15" t="str">
        <f aca="false">IF($C36="","",IF($E36="Sell to open",1,-1)*$I36*$E$2*$H36)</f>
        <v/>
      </c>
      <c r="P36" s="15" t="str">
        <f aca="false">IF($C36="","",IF($C36="Long call",$F36+$I36,IF($C36="Covered call",$J36-$I36,$F36-$I36)))</f>
        <v/>
      </c>
      <c r="Q36" s="16" t="str">
        <f aca="false">IF($C36="","",IF($AA36="Open",$B$2,IF($M36&lt;&gt;"",$M36,$G36))-$A36)</f>
        <v/>
      </c>
      <c r="R36" s="16" t="str">
        <f aca="false">IF($C36="","",IF($AA36="Open",MAX($G36-$B$2,0),""))</f>
        <v/>
      </c>
      <c r="S36" s="15" t="str">
        <f aca="false">IF(OR($C36="",$AA36="Open"),"",IF($L36="Closed",-IF($E36="Sell to open",1,-1)*$N36*$E$2*$H36,0))</f>
        <v/>
      </c>
      <c r="T36" s="15" t="str">
        <f aca="false">IF(OR($C36="",$AA36="Open"),"",$O36+$S36-$K36)</f>
        <v/>
      </c>
      <c r="U36" s="15" t="str">
        <f aca="false">IF(OR($C36="",$AA36="Open"),"",IF(AND($C36="Covered call",$L36="Assigned"),($F36-$J36)*$E$2*$H36,0))</f>
        <v/>
      </c>
      <c r="V36" s="15" t="str">
        <f aca="false">IF(OR($C36="",$AA36="Open"),"",$T36+$U36)</f>
        <v/>
      </c>
      <c r="W36" s="15" t="str">
        <f aca="false">IF($C36="","",IF(OR($C36="Long call",$C36="Long put"),$I36*$E$2*$H36,(IF($C36="Covered call",$J36,$F36)-$I36)*$E$2*$H36))</f>
        <v/>
      </c>
      <c r="X36" s="17" t="str">
        <f aca="false">IF(OR($C36="",$AA36="Open"),"",IF($W36&gt;0,$V36/$W36,""))</f>
        <v/>
      </c>
      <c r="Y36" s="17" t="str">
        <f aca="false">IF(OR($C36="",$AA36="Open"),"",IF($W36&gt;0,$X36*365/MAX($Q36,1),""))</f>
        <v/>
      </c>
      <c r="Z36" s="18" t="str">
        <f aca="false">IF(OR($C36="",$AA36="Open"),"",IF($M36&lt;&gt;"",$M36,$G36))</f>
        <v/>
      </c>
      <c r="AA36" s="12" t="str">
        <f aca="false">IF($C36="","",IF(OR($L36="Open",$L36=""),"Open","Realized"))</f>
        <v/>
      </c>
    </row>
    <row r="37" customFormat="false" ht="15" hidden="false" customHeight="false" outlineLevel="0" collapsed="false">
      <c r="A37" s="7"/>
      <c r="B37" s="9"/>
      <c r="C37" s="32"/>
      <c r="D37" s="12" t="str">
        <f aca="false">IF($C37="","",IF(OR($C37="Long call",$C37="Covered call"),"Call","Put"))</f>
        <v/>
      </c>
      <c r="E37" s="12" t="str">
        <f aca="false">IF($C37="","",IF(OR($C37="Long call",$C37="Long put"),"Buy to open","Sell to open"))</f>
        <v/>
      </c>
      <c r="F37" s="13"/>
      <c r="G37" s="7"/>
      <c r="H37" s="14"/>
      <c r="I37" s="13"/>
      <c r="J37" s="13"/>
      <c r="K37" s="13"/>
      <c r="L37" s="32"/>
      <c r="M37" s="7"/>
      <c r="N37" s="13"/>
      <c r="O37" s="15" t="str">
        <f aca="false">IF($C37="","",IF($E37="Sell to open",1,-1)*$I37*$E$2*$H37)</f>
        <v/>
      </c>
      <c r="P37" s="15" t="str">
        <f aca="false">IF($C37="","",IF($C37="Long call",$F37+$I37,IF($C37="Covered call",$J37-$I37,$F37-$I37)))</f>
        <v/>
      </c>
      <c r="Q37" s="16" t="str">
        <f aca="false">IF($C37="","",IF($AA37="Open",$B$2,IF($M37&lt;&gt;"",$M37,$G37))-$A37)</f>
        <v/>
      </c>
      <c r="R37" s="16" t="str">
        <f aca="false">IF($C37="","",IF($AA37="Open",MAX($G37-$B$2,0),""))</f>
        <v/>
      </c>
      <c r="S37" s="15" t="str">
        <f aca="false">IF(OR($C37="",$AA37="Open"),"",IF($L37="Closed",-IF($E37="Sell to open",1,-1)*$N37*$E$2*$H37,0))</f>
        <v/>
      </c>
      <c r="T37" s="15" t="str">
        <f aca="false">IF(OR($C37="",$AA37="Open"),"",$O37+$S37-$K37)</f>
        <v/>
      </c>
      <c r="U37" s="15" t="str">
        <f aca="false">IF(OR($C37="",$AA37="Open"),"",IF(AND($C37="Covered call",$L37="Assigned"),($F37-$J37)*$E$2*$H37,0))</f>
        <v/>
      </c>
      <c r="V37" s="15" t="str">
        <f aca="false">IF(OR($C37="",$AA37="Open"),"",$T37+$U37)</f>
        <v/>
      </c>
      <c r="W37" s="15" t="str">
        <f aca="false">IF($C37="","",IF(OR($C37="Long call",$C37="Long put"),$I37*$E$2*$H37,(IF($C37="Covered call",$J37,$F37)-$I37)*$E$2*$H37))</f>
        <v/>
      </c>
      <c r="X37" s="17" t="str">
        <f aca="false">IF(OR($C37="",$AA37="Open"),"",IF($W37&gt;0,$V37/$W37,""))</f>
        <v/>
      </c>
      <c r="Y37" s="17" t="str">
        <f aca="false">IF(OR($C37="",$AA37="Open"),"",IF($W37&gt;0,$X37*365/MAX($Q37,1),""))</f>
        <v/>
      </c>
      <c r="Z37" s="18" t="str">
        <f aca="false">IF(OR($C37="",$AA37="Open"),"",IF($M37&lt;&gt;"",$M37,$G37))</f>
        <v/>
      </c>
      <c r="AA37" s="12" t="str">
        <f aca="false">IF($C37="","",IF(OR($L37="Open",$L37=""),"Open","Realized"))</f>
        <v/>
      </c>
    </row>
    <row r="38" customFormat="false" ht="15" hidden="false" customHeight="false" outlineLevel="0" collapsed="false">
      <c r="A38" s="7"/>
      <c r="B38" s="9"/>
      <c r="C38" s="32"/>
      <c r="D38" s="12" t="str">
        <f aca="false">IF($C38="","",IF(OR($C38="Long call",$C38="Covered call"),"Call","Put"))</f>
        <v/>
      </c>
      <c r="E38" s="12" t="str">
        <f aca="false">IF($C38="","",IF(OR($C38="Long call",$C38="Long put"),"Buy to open","Sell to open"))</f>
        <v/>
      </c>
      <c r="F38" s="13"/>
      <c r="G38" s="7"/>
      <c r="H38" s="14"/>
      <c r="I38" s="13"/>
      <c r="J38" s="13"/>
      <c r="K38" s="13"/>
      <c r="L38" s="32"/>
      <c r="M38" s="7"/>
      <c r="N38" s="13"/>
      <c r="O38" s="15" t="str">
        <f aca="false">IF($C38="","",IF($E38="Sell to open",1,-1)*$I38*$E$2*$H38)</f>
        <v/>
      </c>
      <c r="P38" s="15" t="str">
        <f aca="false">IF($C38="","",IF($C38="Long call",$F38+$I38,IF($C38="Covered call",$J38-$I38,$F38-$I38)))</f>
        <v/>
      </c>
      <c r="Q38" s="16" t="str">
        <f aca="false">IF($C38="","",IF($AA38="Open",$B$2,IF($M38&lt;&gt;"",$M38,$G38))-$A38)</f>
        <v/>
      </c>
      <c r="R38" s="16" t="str">
        <f aca="false">IF($C38="","",IF($AA38="Open",MAX($G38-$B$2,0),""))</f>
        <v/>
      </c>
      <c r="S38" s="15" t="str">
        <f aca="false">IF(OR($C38="",$AA38="Open"),"",IF($L38="Closed",-IF($E38="Sell to open",1,-1)*$N38*$E$2*$H38,0))</f>
        <v/>
      </c>
      <c r="T38" s="15" t="str">
        <f aca="false">IF(OR($C38="",$AA38="Open"),"",$O38+$S38-$K38)</f>
        <v/>
      </c>
      <c r="U38" s="15" t="str">
        <f aca="false">IF(OR($C38="",$AA38="Open"),"",IF(AND($C38="Covered call",$L38="Assigned"),($F38-$J38)*$E$2*$H38,0))</f>
        <v/>
      </c>
      <c r="V38" s="15" t="str">
        <f aca="false">IF(OR($C38="",$AA38="Open"),"",$T38+$U38)</f>
        <v/>
      </c>
      <c r="W38" s="15" t="str">
        <f aca="false">IF($C38="","",IF(OR($C38="Long call",$C38="Long put"),$I38*$E$2*$H38,(IF($C38="Covered call",$J38,$F38)-$I38)*$E$2*$H38))</f>
        <v/>
      </c>
      <c r="X38" s="17" t="str">
        <f aca="false">IF(OR($C38="",$AA38="Open"),"",IF($W38&gt;0,$V38/$W38,""))</f>
        <v/>
      </c>
      <c r="Y38" s="17" t="str">
        <f aca="false">IF(OR($C38="",$AA38="Open"),"",IF($W38&gt;0,$X38*365/MAX($Q38,1),""))</f>
        <v/>
      </c>
      <c r="Z38" s="18" t="str">
        <f aca="false">IF(OR($C38="",$AA38="Open"),"",IF($M38&lt;&gt;"",$M38,$G38))</f>
        <v/>
      </c>
      <c r="AA38" s="12" t="str">
        <f aca="false">IF($C38="","",IF(OR($L38="Open",$L38=""),"Open","Realized"))</f>
        <v/>
      </c>
    </row>
    <row r="39" customFormat="false" ht="15" hidden="false" customHeight="false" outlineLevel="0" collapsed="false">
      <c r="A39" s="7"/>
      <c r="B39" s="9"/>
      <c r="C39" s="32"/>
      <c r="D39" s="12" t="str">
        <f aca="false">IF($C39="","",IF(OR($C39="Long call",$C39="Covered call"),"Call","Put"))</f>
        <v/>
      </c>
      <c r="E39" s="12" t="str">
        <f aca="false">IF($C39="","",IF(OR($C39="Long call",$C39="Long put"),"Buy to open","Sell to open"))</f>
        <v/>
      </c>
      <c r="F39" s="13"/>
      <c r="G39" s="7"/>
      <c r="H39" s="14"/>
      <c r="I39" s="13"/>
      <c r="J39" s="13"/>
      <c r="K39" s="13"/>
      <c r="L39" s="32"/>
      <c r="M39" s="7"/>
      <c r="N39" s="13"/>
      <c r="O39" s="15" t="str">
        <f aca="false">IF($C39="","",IF($E39="Sell to open",1,-1)*$I39*$E$2*$H39)</f>
        <v/>
      </c>
      <c r="P39" s="15" t="str">
        <f aca="false">IF($C39="","",IF($C39="Long call",$F39+$I39,IF($C39="Covered call",$J39-$I39,$F39-$I39)))</f>
        <v/>
      </c>
      <c r="Q39" s="16" t="str">
        <f aca="false">IF($C39="","",IF($AA39="Open",$B$2,IF($M39&lt;&gt;"",$M39,$G39))-$A39)</f>
        <v/>
      </c>
      <c r="R39" s="16" t="str">
        <f aca="false">IF($C39="","",IF($AA39="Open",MAX($G39-$B$2,0),""))</f>
        <v/>
      </c>
      <c r="S39" s="15" t="str">
        <f aca="false">IF(OR($C39="",$AA39="Open"),"",IF($L39="Closed",-IF($E39="Sell to open",1,-1)*$N39*$E$2*$H39,0))</f>
        <v/>
      </c>
      <c r="T39" s="15" t="str">
        <f aca="false">IF(OR($C39="",$AA39="Open"),"",$O39+$S39-$K39)</f>
        <v/>
      </c>
      <c r="U39" s="15" t="str">
        <f aca="false">IF(OR($C39="",$AA39="Open"),"",IF(AND($C39="Covered call",$L39="Assigned"),($F39-$J39)*$E$2*$H39,0))</f>
        <v/>
      </c>
      <c r="V39" s="15" t="str">
        <f aca="false">IF(OR($C39="",$AA39="Open"),"",$T39+$U39)</f>
        <v/>
      </c>
      <c r="W39" s="15" t="str">
        <f aca="false">IF($C39="","",IF(OR($C39="Long call",$C39="Long put"),$I39*$E$2*$H39,(IF($C39="Covered call",$J39,$F39)-$I39)*$E$2*$H39))</f>
        <v/>
      </c>
      <c r="X39" s="17" t="str">
        <f aca="false">IF(OR($C39="",$AA39="Open"),"",IF($W39&gt;0,$V39/$W39,""))</f>
        <v/>
      </c>
      <c r="Y39" s="17" t="str">
        <f aca="false">IF(OR($C39="",$AA39="Open"),"",IF($W39&gt;0,$X39*365/MAX($Q39,1),""))</f>
        <v/>
      </c>
      <c r="Z39" s="18" t="str">
        <f aca="false">IF(OR($C39="",$AA39="Open"),"",IF($M39&lt;&gt;"",$M39,$G39))</f>
        <v/>
      </c>
      <c r="AA39" s="12" t="str">
        <f aca="false">IF($C39="","",IF(OR($L39="Open",$L39=""),"Open","Realized"))</f>
        <v/>
      </c>
    </row>
    <row r="40" customFormat="false" ht="15" hidden="false" customHeight="false" outlineLevel="0" collapsed="false">
      <c r="A40" s="7"/>
      <c r="B40" s="9"/>
      <c r="C40" s="32"/>
      <c r="D40" s="12" t="str">
        <f aca="false">IF($C40="","",IF(OR($C40="Long call",$C40="Covered call"),"Call","Put"))</f>
        <v/>
      </c>
      <c r="E40" s="12" t="str">
        <f aca="false">IF($C40="","",IF(OR($C40="Long call",$C40="Long put"),"Buy to open","Sell to open"))</f>
        <v/>
      </c>
      <c r="F40" s="13"/>
      <c r="G40" s="7"/>
      <c r="H40" s="14"/>
      <c r="I40" s="13"/>
      <c r="J40" s="13"/>
      <c r="K40" s="13"/>
      <c r="L40" s="32"/>
      <c r="M40" s="7"/>
      <c r="N40" s="13"/>
      <c r="O40" s="15" t="str">
        <f aca="false">IF($C40="","",IF($E40="Sell to open",1,-1)*$I40*$E$2*$H40)</f>
        <v/>
      </c>
      <c r="P40" s="15" t="str">
        <f aca="false">IF($C40="","",IF($C40="Long call",$F40+$I40,IF($C40="Covered call",$J40-$I40,$F40-$I40)))</f>
        <v/>
      </c>
      <c r="Q40" s="16" t="str">
        <f aca="false">IF($C40="","",IF($AA40="Open",$B$2,IF($M40&lt;&gt;"",$M40,$G40))-$A40)</f>
        <v/>
      </c>
      <c r="R40" s="16" t="str">
        <f aca="false">IF($C40="","",IF($AA40="Open",MAX($G40-$B$2,0),""))</f>
        <v/>
      </c>
      <c r="S40" s="15" t="str">
        <f aca="false">IF(OR($C40="",$AA40="Open"),"",IF($L40="Closed",-IF($E40="Sell to open",1,-1)*$N40*$E$2*$H40,0))</f>
        <v/>
      </c>
      <c r="T40" s="15" t="str">
        <f aca="false">IF(OR($C40="",$AA40="Open"),"",$O40+$S40-$K40)</f>
        <v/>
      </c>
      <c r="U40" s="15" t="str">
        <f aca="false">IF(OR($C40="",$AA40="Open"),"",IF(AND($C40="Covered call",$L40="Assigned"),($F40-$J40)*$E$2*$H40,0))</f>
        <v/>
      </c>
      <c r="V40" s="15" t="str">
        <f aca="false">IF(OR($C40="",$AA40="Open"),"",$T40+$U40)</f>
        <v/>
      </c>
      <c r="W40" s="15" t="str">
        <f aca="false">IF($C40="","",IF(OR($C40="Long call",$C40="Long put"),$I40*$E$2*$H40,(IF($C40="Covered call",$J40,$F40)-$I40)*$E$2*$H40))</f>
        <v/>
      </c>
      <c r="X40" s="17" t="str">
        <f aca="false">IF(OR($C40="",$AA40="Open"),"",IF($W40&gt;0,$V40/$W40,""))</f>
        <v/>
      </c>
      <c r="Y40" s="17" t="str">
        <f aca="false">IF(OR($C40="",$AA40="Open"),"",IF($W40&gt;0,$X40*365/MAX($Q40,1),""))</f>
        <v/>
      </c>
      <c r="Z40" s="18" t="str">
        <f aca="false">IF(OR($C40="",$AA40="Open"),"",IF($M40&lt;&gt;"",$M40,$G40))</f>
        <v/>
      </c>
      <c r="AA40" s="12" t="str">
        <f aca="false">IF($C40="","",IF(OR($L40="Open",$L40=""),"Open","Realized"))</f>
        <v/>
      </c>
    </row>
    <row r="41" customFormat="false" ht="15" hidden="false" customHeight="false" outlineLevel="0" collapsed="false">
      <c r="A41" s="7"/>
      <c r="B41" s="9"/>
      <c r="C41" s="32"/>
      <c r="D41" s="12" t="str">
        <f aca="false">IF($C41="","",IF(OR($C41="Long call",$C41="Covered call"),"Call","Put"))</f>
        <v/>
      </c>
      <c r="E41" s="12" t="str">
        <f aca="false">IF($C41="","",IF(OR($C41="Long call",$C41="Long put"),"Buy to open","Sell to open"))</f>
        <v/>
      </c>
      <c r="F41" s="13"/>
      <c r="G41" s="7"/>
      <c r="H41" s="14"/>
      <c r="I41" s="13"/>
      <c r="J41" s="13"/>
      <c r="K41" s="13"/>
      <c r="L41" s="32"/>
      <c r="M41" s="7"/>
      <c r="N41" s="13"/>
      <c r="O41" s="15" t="str">
        <f aca="false">IF($C41="","",IF($E41="Sell to open",1,-1)*$I41*$E$2*$H41)</f>
        <v/>
      </c>
      <c r="P41" s="15" t="str">
        <f aca="false">IF($C41="","",IF($C41="Long call",$F41+$I41,IF($C41="Covered call",$J41-$I41,$F41-$I41)))</f>
        <v/>
      </c>
      <c r="Q41" s="16" t="str">
        <f aca="false">IF($C41="","",IF($AA41="Open",$B$2,IF($M41&lt;&gt;"",$M41,$G41))-$A41)</f>
        <v/>
      </c>
      <c r="R41" s="16" t="str">
        <f aca="false">IF($C41="","",IF($AA41="Open",MAX($G41-$B$2,0),""))</f>
        <v/>
      </c>
      <c r="S41" s="15" t="str">
        <f aca="false">IF(OR($C41="",$AA41="Open"),"",IF($L41="Closed",-IF($E41="Sell to open",1,-1)*$N41*$E$2*$H41,0))</f>
        <v/>
      </c>
      <c r="T41" s="15" t="str">
        <f aca="false">IF(OR($C41="",$AA41="Open"),"",$O41+$S41-$K41)</f>
        <v/>
      </c>
      <c r="U41" s="15" t="str">
        <f aca="false">IF(OR($C41="",$AA41="Open"),"",IF(AND($C41="Covered call",$L41="Assigned"),($F41-$J41)*$E$2*$H41,0))</f>
        <v/>
      </c>
      <c r="V41" s="15" t="str">
        <f aca="false">IF(OR($C41="",$AA41="Open"),"",$T41+$U41)</f>
        <v/>
      </c>
      <c r="W41" s="15" t="str">
        <f aca="false">IF($C41="","",IF(OR($C41="Long call",$C41="Long put"),$I41*$E$2*$H41,(IF($C41="Covered call",$J41,$F41)-$I41)*$E$2*$H41))</f>
        <v/>
      </c>
      <c r="X41" s="17" t="str">
        <f aca="false">IF(OR($C41="",$AA41="Open"),"",IF($W41&gt;0,$V41/$W41,""))</f>
        <v/>
      </c>
      <c r="Y41" s="17" t="str">
        <f aca="false">IF(OR($C41="",$AA41="Open"),"",IF($W41&gt;0,$X41*365/MAX($Q41,1),""))</f>
        <v/>
      </c>
      <c r="Z41" s="18" t="str">
        <f aca="false">IF(OR($C41="",$AA41="Open"),"",IF($M41&lt;&gt;"",$M41,$G41))</f>
        <v/>
      </c>
      <c r="AA41" s="12" t="str">
        <f aca="false">IF($C41="","",IF(OR($L41="Open",$L41=""),"Open","Realized"))</f>
        <v/>
      </c>
    </row>
    <row r="42" customFormat="false" ht="15" hidden="false" customHeight="false" outlineLevel="0" collapsed="false">
      <c r="A42" s="7"/>
      <c r="B42" s="9"/>
      <c r="C42" s="32"/>
      <c r="D42" s="12" t="str">
        <f aca="false">IF($C42="","",IF(OR($C42="Long call",$C42="Covered call"),"Call","Put"))</f>
        <v/>
      </c>
      <c r="E42" s="12" t="str">
        <f aca="false">IF($C42="","",IF(OR($C42="Long call",$C42="Long put"),"Buy to open","Sell to open"))</f>
        <v/>
      </c>
      <c r="F42" s="13"/>
      <c r="G42" s="7"/>
      <c r="H42" s="14"/>
      <c r="I42" s="13"/>
      <c r="J42" s="13"/>
      <c r="K42" s="13"/>
      <c r="L42" s="32"/>
      <c r="M42" s="7"/>
      <c r="N42" s="13"/>
      <c r="O42" s="15" t="str">
        <f aca="false">IF($C42="","",IF($E42="Sell to open",1,-1)*$I42*$E$2*$H42)</f>
        <v/>
      </c>
      <c r="P42" s="15" t="str">
        <f aca="false">IF($C42="","",IF($C42="Long call",$F42+$I42,IF($C42="Covered call",$J42-$I42,$F42-$I42)))</f>
        <v/>
      </c>
      <c r="Q42" s="16" t="str">
        <f aca="false">IF($C42="","",IF($AA42="Open",$B$2,IF($M42&lt;&gt;"",$M42,$G42))-$A42)</f>
        <v/>
      </c>
      <c r="R42" s="16" t="str">
        <f aca="false">IF($C42="","",IF($AA42="Open",MAX($G42-$B$2,0),""))</f>
        <v/>
      </c>
      <c r="S42" s="15" t="str">
        <f aca="false">IF(OR($C42="",$AA42="Open"),"",IF($L42="Closed",-IF($E42="Sell to open",1,-1)*$N42*$E$2*$H42,0))</f>
        <v/>
      </c>
      <c r="T42" s="15" t="str">
        <f aca="false">IF(OR($C42="",$AA42="Open"),"",$O42+$S42-$K42)</f>
        <v/>
      </c>
      <c r="U42" s="15" t="str">
        <f aca="false">IF(OR($C42="",$AA42="Open"),"",IF(AND($C42="Covered call",$L42="Assigned"),($F42-$J42)*$E$2*$H42,0))</f>
        <v/>
      </c>
      <c r="V42" s="15" t="str">
        <f aca="false">IF(OR($C42="",$AA42="Open"),"",$T42+$U42)</f>
        <v/>
      </c>
      <c r="W42" s="15" t="str">
        <f aca="false">IF($C42="","",IF(OR($C42="Long call",$C42="Long put"),$I42*$E$2*$H42,(IF($C42="Covered call",$J42,$F42)-$I42)*$E$2*$H42))</f>
        <v/>
      </c>
      <c r="X42" s="17" t="str">
        <f aca="false">IF(OR($C42="",$AA42="Open"),"",IF($W42&gt;0,$V42/$W42,""))</f>
        <v/>
      </c>
      <c r="Y42" s="17" t="str">
        <f aca="false">IF(OR($C42="",$AA42="Open"),"",IF($W42&gt;0,$X42*365/MAX($Q42,1),""))</f>
        <v/>
      </c>
      <c r="Z42" s="18" t="str">
        <f aca="false">IF(OR($C42="",$AA42="Open"),"",IF($M42&lt;&gt;"",$M42,$G42))</f>
        <v/>
      </c>
      <c r="AA42" s="12" t="str">
        <f aca="false">IF($C42="","",IF(OR($L42="Open",$L42=""),"Open","Realized"))</f>
        <v/>
      </c>
    </row>
    <row r="43" customFormat="false" ht="15" hidden="false" customHeight="false" outlineLevel="0" collapsed="false">
      <c r="A43" s="7"/>
      <c r="B43" s="9"/>
      <c r="C43" s="32"/>
      <c r="D43" s="12" t="str">
        <f aca="false">IF($C43="","",IF(OR($C43="Long call",$C43="Covered call"),"Call","Put"))</f>
        <v/>
      </c>
      <c r="E43" s="12" t="str">
        <f aca="false">IF($C43="","",IF(OR($C43="Long call",$C43="Long put"),"Buy to open","Sell to open"))</f>
        <v/>
      </c>
      <c r="F43" s="13"/>
      <c r="G43" s="7"/>
      <c r="H43" s="14"/>
      <c r="I43" s="13"/>
      <c r="J43" s="13"/>
      <c r="K43" s="13"/>
      <c r="L43" s="32"/>
      <c r="M43" s="7"/>
      <c r="N43" s="13"/>
      <c r="O43" s="15" t="str">
        <f aca="false">IF($C43="","",IF($E43="Sell to open",1,-1)*$I43*$E$2*$H43)</f>
        <v/>
      </c>
      <c r="P43" s="15" t="str">
        <f aca="false">IF($C43="","",IF($C43="Long call",$F43+$I43,IF($C43="Covered call",$J43-$I43,$F43-$I43)))</f>
        <v/>
      </c>
      <c r="Q43" s="16" t="str">
        <f aca="false">IF($C43="","",IF($AA43="Open",$B$2,IF($M43&lt;&gt;"",$M43,$G43))-$A43)</f>
        <v/>
      </c>
      <c r="R43" s="16" t="str">
        <f aca="false">IF($C43="","",IF($AA43="Open",MAX($G43-$B$2,0),""))</f>
        <v/>
      </c>
      <c r="S43" s="15" t="str">
        <f aca="false">IF(OR($C43="",$AA43="Open"),"",IF($L43="Closed",-IF($E43="Sell to open",1,-1)*$N43*$E$2*$H43,0))</f>
        <v/>
      </c>
      <c r="T43" s="15" t="str">
        <f aca="false">IF(OR($C43="",$AA43="Open"),"",$O43+$S43-$K43)</f>
        <v/>
      </c>
      <c r="U43" s="15" t="str">
        <f aca="false">IF(OR($C43="",$AA43="Open"),"",IF(AND($C43="Covered call",$L43="Assigned"),($F43-$J43)*$E$2*$H43,0))</f>
        <v/>
      </c>
      <c r="V43" s="15" t="str">
        <f aca="false">IF(OR($C43="",$AA43="Open"),"",$T43+$U43)</f>
        <v/>
      </c>
      <c r="W43" s="15" t="str">
        <f aca="false">IF($C43="","",IF(OR($C43="Long call",$C43="Long put"),$I43*$E$2*$H43,(IF($C43="Covered call",$J43,$F43)-$I43)*$E$2*$H43))</f>
        <v/>
      </c>
      <c r="X43" s="17" t="str">
        <f aca="false">IF(OR($C43="",$AA43="Open"),"",IF($W43&gt;0,$V43/$W43,""))</f>
        <v/>
      </c>
      <c r="Y43" s="17" t="str">
        <f aca="false">IF(OR($C43="",$AA43="Open"),"",IF($W43&gt;0,$X43*365/MAX($Q43,1),""))</f>
        <v/>
      </c>
      <c r="Z43" s="18" t="str">
        <f aca="false">IF(OR($C43="",$AA43="Open"),"",IF($M43&lt;&gt;"",$M43,$G43))</f>
        <v/>
      </c>
      <c r="AA43" s="12" t="str">
        <f aca="false">IF($C43="","",IF(OR($L43="Open",$L43=""),"Open","Realized"))</f>
        <v/>
      </c>
    </row>
    <row r="44" customFormat="false" ht="15" hidden="false" customHeight="false" outlineLevel="0" collapsed="false">
      <c r="A44" s="7"/>
      <c r="B44" s="9"/>
      <c r="C44" s="32"/>
      <c r="D44" s="12" t="str">
        <f aca="false">IF($C44="","",IF(OR($C44="Long call",$C44="Covered call"),"Call","Put"))</f>
        <v/>
      </c>
      <c r="E44" s="12" t="str">
        <f aca="false">IF($C44="","",IF(OR($C44="Long call",$C44="Long put"),"Buy to open","Sell to open"))</f>
        <v/>
      </c>
      <c r="F44" s="13"/>
      <c r="G44" s="7"/>
      <c r="H44" s="14"/>
      <c r="I44" s="13"/>
      <c r="J44" s="13"/>
      <c r="K44" s="13"/>
      <c r="L44" s="32"/>
      <c r="M44" s="7"/>
      <c r="N44" s="13"/>
      <c r="O44" s="15" t="str">
        <f aca="false">IF($C44="","",IF($E44="Sell to open",1,-1)*$I44*$E$2*$H44)</f>
        <v/>
      </c>
      <c r="P44" s="15" t="str">
        <f aca="false">IF($C44="","",IF($C44="Long call",$F44+$I44,IF($C44="Covered call",$J44-$I44,$F44-$I44)))</f>
        <v/>
      </c>
      <c r="Q44" s="16" t="str">
        <f aca="false">IF($C44="","",IF($AA44="Open",$B$2,IF($M44&lt;&gt;"",$M44,$G44))-$A44)</f>
        <v/>
      </c>
      <c r="R44" s="16" t="str">
        <f aca="false">IF($C44="","",IF($AA44="Open",MAX($G44-$B$2,0),""))</f>
        <v/>
      </c>
      <c r="S44" s="15" t="str">
        <f aca="false">IF(OR($C44="",$AA44="Open"),"",IF($L44="Closed",-IF($E44="Sell to open",1,-1)*$N44*$E$2*$H44,0))</f>
        <v/>
      </c>
      <c r="T44" s="15" t="str">
        <f aca="false">IF(OR($C44="",$AA44="Open"),"",$O44+$S44-$K44)</f>
        <v/>
      </c>
      <c r="U44" s="15" t="str">
        <f aca="false">IF(OR($C44="",$AA44="Open"),"",IF(AND($C44="Covered call",$L44="Assigned"),($F44-$J44)*$E$2*$H44,0))</f>
        <v/>
      </c>
      <c r="V44" s="15" t="str">
        <f aca="false">IF(OR($C44="",$AA44="Open"),"",$T44+$U44)</f>
        <v/>
      </c>
      <c r="W44" s="15" t="str">
        <f aca="false">IF($C44="","",IF(OR($C44="Long call",$C44="Long put"),$I44*$E$2*$H44,(IF($C44="Covered call",$J44,$F44)-$I44)*$E$2*$H44))</f>
        <v/>
      </c>
      <c r="X44" s="17" t="str">
        <f aca="false">IF(OR($C44="",$AA44="Open"),"",IF($W44&gt;0,$V44/$W44,""))</f>
        <v/>
      </c>
      <c r="Y44" s="17" t="str">
        <f aca="false">IF(OR($C44="",$AA44="Open"),"",IF($W44&gt;0,$X44*365/MAX($Q44,1),""))</f>
        <v/>
      </c>
      <c r="Z44" s="18" t="str">
        <f aca="false">IF(OR($C44="",$AA44="Open"),"",IF($M44&lt;&gt;"",$M44,$G44))</f>
        <v/>
      </c>
      <c r="AA44" s="12" t="str">
        <f aca="false">IF($C44="","",IF(OR($L44="Open",$L44=""),"Open","Realized"))</f>
        <v/>
      </c>
    </row>
    <row r="45" customFormat="false" ht="15" hidden="false" customHeight="false" outlineLevel="0" collapsed="false">
      <c r="A45" s="7"/>
      <c r="B45" s="9"/>
      <c r="C45" s="32"/>
      <c r="D45" s="12" t="str">
        <f aca="false">IF($C45="","",IF(OR($C45="Long call",$C45="Covered call"),"Call","Put"))</f>
        <v/>
      </c>
      <c r="E45" s="12" t="str">
        <f aca="false">IF($C45="","",IF(OR($C45="Long call",$C45="Long put"),"Buy to open","Sell to open"))</f>
        <v/>
      </c>
      <c r="F45" s="13"/>
      <c r="G45" s="7"/>
      <c r="H45" s="14"/>
      <c r="I45" s="13"/>
      <c r="J45" s="13"/>
      <c r="K45" s="13"/>
      <c r="L45" s="32"/>
      <c r="M45" s="7"/>
      <c r="N45" s="13"/>
      <c r="O45" s="15" t="str">
        <f aca="false">IF($C45="","",IF($E45="Sell to open",1,-1)*$I45*$E$2*$H45)</f>
        <v/>
      </c>
      <c r="P45" s="15" t="str">
        <f aca="false">IF($C45="","",IF($C45="Long call",$F45+$I45,IF($C45="Covered call",$J45-$I45,$F45-$I45)))</f>
        <v/>
      </c>
      <c r="Q45" s="16" t="str">
        <f aca="false">IF($C45="","",IF($AA45="Open",$B$2,IF($M45&lt;&gt;"",$M45,$G45))-$A45)</f>
        <v/>
      </c>
      <c r="R45" s="16" t="str">
        <f aca="false">IF($C45="","",IF($AA45="Open",MAX($G45-$B$2,0),""))</f>
        <v/>
      </c>
      <c r="S45" s="15" t="str">
        <f aca="false">IF(OR($C45="",$AA45="Open"),"",IF($L45="Closed",-IF($E45="Sell to open",1,-1)*$N45*$E$2*$H45,0))</f>
        <v/>
      </c>
      <c r="T45" s="15" t="str">
        <f aca="false">IF(OR($C45="",$AA45="Open"),"",$O45+$S45-$K45)</f>
        <v/>
      </c>
      <c r="U45" s="15" t="str">
        <f aca="false">IF(OR($C45="",$AA45="Open"),"",IF(AND($C45="Covered call",$L45="Assigned"),($F45-$J45)*$E$2*$H45,0))</f>
        <v/>
      </c>
      <c r="V45" s="15" t="str">
        <f aca="false">IF(OR($C45="",$AA45="Open"),"",$T45+$U45)</f>
        <v/>
      </c>
      <c r="W45" s="15" t="str">
        <f aca="false">IF($C45="","",IF(OR($C45="Long call",$C45="Long put"),$I45*$E$2*$H45,(IF($C45="Covered call",$J45,$F45)-$I45)*$E$2*$H45))</f>
        <v/>
      </c>
      <c r="X45" s="17" t="str">
        <f aca="false">IF(OR($C45="",$AA45="Open"),"",IF($W45&gt;0,$V45/$W45,""))</f>
        <v/>
      </c>
      <c r="Y45" s="17" t="str">
        <f aca="false">IF(OR($C45="",$AA45="Open"),"",IF($W45&gt;0,$X45*365/MAX($Q45,1),""))</f>
        <v/>
      </c>
      <c r="Z45" s="18" t="str">
        <f aca="false">IF(OR($C45="",$AA45="Open"),"",IF($M45&lt;&gt;"",$M45,$G45))</f>
        <v/>
      </c>
      <c r="AA45" s="12" t="str">
        <f aca="false">IF($C45="","",IF(OR($L45="Open",$L45=""),"Open","Realized"))</f>
        <v/>
      </c>
    </row>
    <row r="46" customFormat="false" ht="15" hidden="false" customHeight="false" outlineLevel="0" collapsed="false">
      <c r="A46" s="7"/>
      <c r="B46" s="9"/>
      <c r="C46" s="32"/>
      <c r="D46" s="12" t="str">
        <f aca="false">IF($C46="","",IF(OR($C46="Long call",$C46="Covered call"),"Call","Put"))</f>
        <v/>
      </c>
      <c r="E46" s="12" t="str">
        <f aca="false">IF($C46="","",IF(OR($C46="Long call",$C46="Long put"),"Buy to open","Sell to open"))</f>
        <v/>
      </c>
      <c r="F46" s="13"/>
      <c r="G46" s="7"/>
      <c r="H46" s="14"/>
      <c r="I46" s="13"/>
      <c r="J46" s="13"/>
      <c r="K46" s="13"/>
      <c r="L46" s="32"/>
      <c r="M46" s="7"/>
      <c r="N46" s="13"/>
      <c r="O46" s="15" t="str">
        <f aca="false">IF($C46="","",IF($E46="Sell to open",1,-1)*$I46*$E$2*$H46)</f>
        <v/>
      </c>
      <c r="P46" s="15" t="str">
        <f aca="false">IF($C46="","",IF($C46="Long call",$F46+$I46,IF($C46="Covered call",$J46-$I46,$F46-$I46)))</f>
        <v/>
      </c>
      <c r="Q46" s="16" t="str">
        <f aca="false">IF($C46="","",IF($AA46="Open",$B$2,IF($M46&lt;&gt;"",$M46,$G46))-$A46)</f>
        <v/>
      </c>
      <c r="R46" s="16" t="str">
        <f aca="false">IF($C46="","",IF($AA46="Open",MAX($G46-$B$2,0),""))</f>
        <v/>
      </c>
      <c r="S46" s="15" t="str">
        <f aca="false">IF(OR($C46="",$AA46="Open"),"",IF($L46="Closed",-IF($E46="Sell to open",1,-1)*$N46*$E$2*$H46,0))</f>
        <v/>
      </c>
      <c r="T46" s="15" t="str">
        <f aca="false">IF(OR($C46="",$AA46="Open"),"",$O46+$S46-$K46)</f>
        <v/>
      </c>
      <c r="U46" s="15" t="str">
        <f aca="false">IF(OR($C46="",$AA46="Open"),"",IF(AND($C46="Covered call",$L46="Assigned"),($F46-$J46)*$E$2*$H46,0))</f>
        <v/>
      </c>
      <c r="V46" s="15" t="str">
        <f aca="false">IF(OR($C46="",$AA46="Open"),"",$T46+$U46)</f>
        <v/>
      </c>
      <c r="W46" s="15" t="str">
        <f aca="false">IF($C46="","",IF(OR($C46="Long call",$C46="Long put"),$I46*$E$2*$H46,(IF($C46="Covered call",$J46,$F46)-$I46)*$E$2*$H46))</f>
        <v/>
      </c>
      <c r="X46" s="17" t="str">
        <f aca="false">IF(OR($C46="",$AA46="Open"),"",IF($W46&gt;0,$V46/$W46,""))</f>
        <v/>
      </c>
      <c r="Y46" s="17" t="str">
        <f aca="false">IF(OR($C46="",$AA46="Open"),"",IF($W46&gt;0,$X46*365/MAX($Q46,1),""))</f>
        <v/>
      </c>
      <c r="Z46" s="18" t="str">
        <f aca="false">IF(OR($C46="",$AA46="Open"),"",IF($M46&lt;&gt;"",$M46,$G46))</f>
        <v/>
      </c>
      <c r="AA46" s="12" t="str">
        <f aca="false">IF($C46="","",IF(OR($L46="Open",$L46=""),"Open","Realized"))</f>
        <v/>
      </c>
    </row>
    <row r="47" customFormat="false" ht="15" hidden="false" customHeight="false" outlineLevel="0" collapsed="false">
      <c r="A47" s="7"/>
      <c r="B47" s="9"/>
      <c r="C47" s="32"/>
      <c r="D47" s="12" t="str">
        <f aca="false">IF($C47="","",IF(OR($C47="Long call",$C47="Covered call"),"Call","Put"))</f>
        <v/>
      </c>
      <c r="E47" s="12" t="str">
        <f aca="false">IF($C47="","",IF(OR($C47="Long call",$C47="Long put"),"Buy to open","Sell to open"))</f>
        <v/>
      </c>
      <c r="F47" s="13"/>
      <c r="G47" s="7"/>
      <c r="H47" s="14"/>
      <c r="I47" s="13"/>
      <c r="J47" s="13"/>
      <c r="K47" s="13"/>
      <c r="L47" s="32"/>
      <c r="M47" s="7"/>
      <c r="N47" s="13"/>
      <c r="O47" s="15" t="str">
        <f aca="false">IF($C47="","",IF($E47="Sell to open",1,-1)*$I47*$E$2*$H47)</f>
        <v/>
      </c>
      <c r="P47" s="15" t="str">
        <f aca="false">IF($C47="","",IF($C47="Long call",$F47+$I47,IF($C47="Covered call",$J47-$I47,$F47-$I47)))</f>
        <v/>
      </c>
      <c r="Q47" s="16" t="str">
        <f aca="false">IF($C47="","",IF($AA47="Open",$B$2,IF($M47&lt;&gt;"",$M47,$G47))-$A47)</f>
        <v/>
      </c>
      <c r="R47" s="16" t="str">
        <f aca="false">IF($C47="","",IF($AA47="Open",MAX($G47-$B$2,0),""))</f>
        <v/>
      </c>
      <c r="S47" s="15" t="str">
        <f aca="false">IF(OR($C47="",$AA47="Open"),"",IF($L47="Closed",-IF($E47="Sell to open",1,-1)*$N47*$E$2*$H47,0))</f>
        <v/>
      </c>
      <c r="T47" s="15" t="str">
        <f aca="false">IF(OR($C47="",$AA47="Open"),"",$O47+$S47-$K47)</f>
        <v/>
      </c>
      <c r="U47" s="15" t="str">
        <f aca="false">IF(OR($C47="",$AA47="Open"),"",IF(AND($C47="Covered call",$L47="Assigned"),($F47-$J47)*$E$2*$H47,0))</f>
        <v/>
      </c>
      <c r="V47" s="15" t="str">
        <f aca="false">IF(OR($C47="",$AA47="Open"),"",$T47+$U47)</f>
        <v/>
      </c>
      <c r="W47" s="15" t="str">
        <f aca="false">IF($C47="","",IF(OR($C47="Long call",$C47="Long put"),$I47*$E$2*$H47,(IF($C47="Covered call",$J47,$F47)-$I47)*$E$2*$H47))</f>
        <v/>
      </c>
      <c r="X47" s="17" t="str">
        <f aca="false">IF(OR($C47="",$AA47="Open"),"",IF($W47&gt;0,$V47/$W47,""))</f>
        <v/>
      </c>
      <c r="Y47" s="17" t="str">
        <f aca="false">IF(OR($C47="",$AA47="Open"),"",IF($W47&gt;0,$X47*365/MAX($Q47,1),""))</f>
        <v/>
      </c>
      <c r="Z47" s="18" t="str">
        <f aca="false">IF(OR($C47="",$AA47="Open"),"",IF($M47&lt;&gt;"",$M47,$G47))</f>
        <v/>
      </c>
      <c r="AA47" s="12" t="str">
        <f aca="false">IF($C47="","",IF(OR($L47="Open",$L47=""),"Open","Realized"))</f>
        <v/>
      </c>
    </row>
    <row r="48" customFormat="false" ht="15" hidden="false" customHeight="false" outlineLevel="0" collapsed="false">
      <c r="A48" s="7"/>
      <c r="B48" s="9"/>
      <c r="C48" s="32"/>
      <c r="D48" s="12" t="str">
        <f aca="false">IF($C48="","",IF(OR($C48="Long call",$C48="Covered call"),"Call","Put"))</f>
        <v/>
      </c>
      <c r="E48" s="12" t="str">
        <f aca="false">IF($C48="","",IF(OR($C48="Long call",$C48="Long put"),"Buy to open","Sell to open"))</f>
        <v/>
      </c>
      <c r="F48" s="13"/>
      <c r="G48" s="7"/>
      <c r="H48" s="14"/>
      <c r="I48" s="13"/>
      <c r="J48" s="13"/>
      <c r="K48" s="13"/>
      <c r="L48" s="32"/>
      <c r="M48" s="7"/>
      <c r="N48" s="13"/>
      <c r="O48" s="15" t="str">
        <f aca="false">IF($C48="","",IF($E48="Sell to open",1,-1)*$I48*$E$2*$H48)</f>
        <v/>
      </c>
      <c r="P48" s="15" t="str">
        <f aca="false">IF($C48="","",IF($C48="Long call",$F48+$I48,IF($C48="Covered call",$J48-$I48,$F48-$I48)))</f>
        <v/>
      </c>
      <c r="Q48" s="16" t="str">
        <f aca="false">IF($C48="","",IF($AA48="Open",$B$2,IF($M48&lt;&gt;"",$M48,$G48))-$A48)</f>
        <v/>
      </c>
      <c r="R48" s="16" t="str">
        <f aca="false">IF($C48="","",IF($AA48="Open",MAX($G48-$B$2,0),""))</f>
        <v/>
      </c>
      <c r="S48" s="15" t="str">
        <f aca="false">IF(OR($C48="",$AA48="Open"),"",IF($L48="Closed",-IF($E48="Sell to open",1,-1)*$N48*$E$2*$H48,0))</f>
        <v/>
      </c>
      <c r="T48" s="15" t="str">
        <f aca="false">IF(OR($C48="",$AA48="Open"),"",$O48+$S48-$K48)</f>
        <v/>
      </c>
      <c r="U48" s="15" t="str">
        <f aca="false">IF(OR($C48="",$AA48="Open"),"",IF(AND($C48="Covered call",$L48="Assigned"),($F48-$J48)*$E$2*$H48,0))</f>
        <v/>
      </c>
      <c r="V48" s="15" t="str">
        <f aca="false">IF(OR($C48="",$AA48="Open"),"",$T48+$U48)</f>
        <v/>
      </c>
      <c r="W48" s="15" t="str">
        <f aca="false">IF($C48="","",IF(OR($C48="Long call",$C48="Long put"),$I48*$E$2*$H48,(IF($C48="Covered call",$J48,$F48)-$I48)*$E$2*$H48))</f>
        <v/>
      </c>
      <c r="X48" s="17" t="str">
        <f aca="false">IF(OR($C48="",$AA48="Open"),"",IF($W48&gt;0,$V48/$W48,""))</f>
        <v/>
      </c>
      <c r="Y48" s="17" t="str">
        <f aca="false">IF(OR($C48="",$AA48="Open"),"",IF($W48&gt;0,$X48*365/MAX($Q48,1),""))</f>
        <v/>
      </c>
      <c r="Z48" s="18" t="str">
        <f aca="false">IF(OR($C48="",$AA48="Open"),"",IF($M48&lt;&gt;"",$M48,$G48))</f>
        <v/>
      </c>
      <c r="AA48" s="12" t="str">
        <f aca="false">IF($C48="","",IF(OR($L48="Open",$L48=""),"Open","Realized"))</f>
        <v/>
      </c>
    </row>
    <row r="49" customFormat="false" ht="15" hidden="false" customHeight="false" outlineLevel="0" collapsed="false">
      <c r="A49" s="7"/>
      <c r="B49" s="9"/>
      <c r="C49" s="32"/>
      <c r="D49" s="12" t="str">
        <f aca="false">IF($C49="","",IF(OR($C49="Long call",$C49="Covered call"),"Call","Put"))</f>
        <v/>
      </c>
      <c r="E49" s="12" t="str">
        <f aca="false">IF($C49="","",IF(OR($C49="Long call",$C49="Long put"),"Buy to open","Sell to open"))</f>
        <v/>
      </c>
      <c r="F49" s="13"/>
      <c r="G49" s="7"/>
      <c r="H49" s="14"/>
      <c r="I49" s="13"/>
      <c r="J49" s="13"/>
      <c r="K49" s="13"/>
      <c r="L49" s="32"/>
      <c r="M49" s="7"/>
      <c r="N49" s="13"/>
      <c r="O49" s="15" t="str">
        <f aca="false">IF($C49="","",IF($E49="Sell to open",1,-1)*$I49*$E$2*$H49)</f>
        <v/>
      </c>
      <c r="P49" s="15" t="str">
        <f aca="false">IF($C49="","",IF($C49="Long call",$F49+$I49,IF($C49="Covered call",$J49-$I49,$F49-$I49)))</f>
        <v/>
      </c>
      <c r="Q49" s="16" t="str">
        <f aca="false">IF($C49="","",IF($AA49="Open",$B$2,IF($M49&lt;&gt;"",$M49,$G49))-$A49)</f>
        <v/>
      </c>
      <c r="R49" s="16" t="str">
        <f aca="false">IF($C49="","",IF($AA49="Open",MAX($G49-$B$2,0),""))</f>
        <v/>
      </c>
      <c r="S49" s="15" t="str">
        <f aca="false">IF(OR($C49="",$AA49="Open"),"",IF($L49="Closed",-IF($E49="Sell to open",1,-1)*$N49*$E$2*$H49,0))</f>
        <v/>
      </c>
      <c r="T49" s="15" t="str">
        <f aca="false">IF(OR($C49="",$AA49="Open"),"",$O49+$S49-$K49)</f>
        <v/>
      </c>
      <c r="U49" s="15" t="str">
        <f aca="false">IF(OR($C49="",$AA49="Open"),"",IF(AND($C49="Covered call",$L49="Assigned"),($F49-$J49)*$E$2*$H49,0))</f>
        <v/>
      </c>
      <c r="V49" s="15" t="str">
        <f aca="false">IF(OR($C49="",$AA49="Open"),"",$T49+$U49)</f>
        <v/>
      </c>
      <c r="W49" s="15" t="str">
        <f aca="false">IF($C49="","",IF(OR($C49="Long call",$C49="Long put"),$I49*$E$2*$H49,(IF($C49="Covered call",$J49,$F49)-$I49)*$E$2*$H49))</f>
        <v/>
      </c>
      <c r="X49" s="17" t="str">
        <f aca="false">IF(OR($C49="",$AA49="Open"),"",IF($W49&gt;0,$V49/$W49,""))</f>
        <v/>
      </c>
      <c r="Y49" s="17" t="str">
        <f aca="false">IF(OR($C49="",$AA49="Open"),"",IF($W49&gt;0,$X49*365/MAX($Q49,1),""))</f>
        <v/>
      </c>
      <c r="Z49" s="18" t="str">
        <f aca="false">IF(OR($C49="",$AA49="Open"),"",IF($M49&lt;&gt;"",$M49,$G49))</f>
        <v/>
      </c>
      <c r="AA49" s="12" t="str">
        <f aca="false">IF($C49="","",IF(OR($L49="Open",$L49=""),"Open","Realized"))</f>
        <v/>
      </c>
    </row>
    <row r="50" customFormat="false" ht="15" hidden="false" customHeight="false" outlineLevel="0" collapsed="false">
      <c r="A50" s="7"/>
      <c r="B50" s="9"/>
      <c r="C50" s="32"/>
      <c r="D50" s="12" t="str">
        <f aca="false">IF($C50="","",IF(OR($C50="Long call",$C50="Covered call"),"Call","Put"))</f>
        <v/>
      </c>
      <c r="E50" s="12" t="str">
        <f aca="false">IF($C50="","",IF(OR($C50="Long call",$C50="Long put"),"Buy to open","Sell to open"))</f>
        <v/>
      </c>
      <c r="F50" s="13"/>
      <c r="G50" s="7"/>
      <c r="H50" s="14"/>
      <c r="I50" s="13"/>
      <c r="J50" s="13"/>
      <c r="K50" s="13"/>
      <c r="L50" s="32"/>
      <c r="M50" s="7"/>
      <c r="N50" s="13"/>
      <c r="O50" s="15" t="str">
        <f aca="false">IF($C50="","",IF($E50="Sell to open",1,-1)*$I50*$E$2*$H50)</f>
        <v/>
      </c>
      <c r="P50" s="15" t="str">
        <f aca="false">IF($C50="","",IF($C50="Long call",$F50+$I50,IF($C50="Covered call",$J50-$I50,$F50-$I50)))</f>
        <v/>
      </c>
      <c r="Q50" s="16" t="str">
        <f aca="false">IF($C50="","",IF($AA50="Open",$B$2,IF($M50&lt;&gt;"",$M50,$G50))-$A50)</f>
        <v/>
      </c>
      <c r="R50" s="16" t="str">
        <f aca="false">IF($C50="","",IF($AA50="Open",MAX($G50-$B$2,0),""))</f>
        <v/>
      </c>
      <c r="S50" s="15" t="str">
        <f aca="false">IF(OR($C50="",$AA50="Open"),"",IF($L50="Closed",-IF($E50="Sell to open",1,-1)*$N50*$E$2*$H50,0))</f>
        <v/>
      </c>
      <c r="T50" s="15" t="str">
        <f aca="false">IF(OR($C50="",$AA50="Open"),"",$O50+$S50-$K50)</f>
        <v/>
      </c>
      <c r="U50" s="15" t="str">
        <f aca="false">IF(OR($C50="",$AA50="Open"),"",IF(AND($C50="Covered call",$L50="Assigned"),($F50-$J50)*$E$2*$H50,0))</f>
        <v/>
      </c>
      <c r="V50" s="15" t="str">
        <f aca="false">IF(OR($C50="",$AA50="Open"),"",$T50+$U50)</f>
        <v/>
      </c>
      <c r="W50" s="15" t="str">
        <f aca="false">IF($C50="","",IF(OR($C50="Long call",$C50="Long put"),$I50*$E$2*$H50,(IF($C50="Covered call",$J50,$F50)-$I50)*$E$2*$H50))</f>
        <v/>
      </c>
      <c r="X50" s="17" t="str">
        <f aca="false">IF(OR($C50="",$AA50="Open"),"",IF($W50&gt;0,$V50/$W50,""))</f>
        <v/>
      </c>
      <c r="Y50" s="17" t="str">
        <f aca="false">IF(OR($C50="",$AA50="Open"),"",IF($W50&gt;0,$X50*365/MAX($Q50,1),""))</f>
        <v/>
      </c>
      <c r="Z50" s="18" t="str">
        <f aca="false">IF(OR($C50="",$AA50="Open"),"",IF($M50&lt;&gt;"",$M50,$G50))</f>
        <v/>
      </c>
      <c r="AA50" s="12" t="str">
        <f aca="false">IF($C50="","",IF(OR($L50="Open",$L50=""),"Open","Realized"))</f>
        <v/>
      </c>
    </row>
    <row r="51" customFormat="false" ht="15" hidden="false" customHeight="false" outlineLevel="0" collapsed="false">
      <c r="A51" s="7"/>
      <c r="B51" s="9"/>
      <c r="C51" s="32"/>
      <c r="D51" s="12" t="str">
        <f aca="false">IF($C51="","",IF(OR($C51="Long call",$C51="Covered call"),"Call","Put"))</f>
        <v/>
      </c>
      <c r="E51" s="12" t="str">
        <f aca="false">IF($C51="","",IF(OR($C51="Long call",$C51="Long put"),"Buy to open","Sell to open"))</f>
        <v/>
      </c>
      <c r="F51" s="13"/>
      <c r="G51" s="7"/>
      <c r="H51" s="14"/>
      <c r="I51" s="13"/>
      <c r="J51" s="13"/>
      <c r="K51" s="13"/>
      <c r="L51" s="32"/>
      <c r="M51" s="7"/>
      <c r="N51" s="13"/>
      <c r="O51" s="15" t="str">
        <f aca="false">IF($C51="","",IF($E51="Sell to open",1,-1)*$I51*$E$2*$H51)</f>
        <v/>
      </c>
      <c r="P51" s="15" t="str">
        <f aca="false">IF($C51="","",IF($C51="Long call",$F51+$I51,IF($C51="Covered call",$J51-$I51,$F51-$I51)))</f>
        <v/>
      </c>
      <c r="Q51" s="16" t="str">
        <f aca="false">IF($C51="","",IF($AA51="Open",$B$2,IF($M51&lt;&gt;"",$M51,$G51))-$A51)</f>
        <v/>
      </c>
      <c r="R51" s="16" t="str">
        <f aca="false">IF($C51="","",IF($AA51="Open",MAX($G51-$B$2,0),""))</f>
        <v/>
      </c>
      <c r="S51" s="15" t="str">
        <f aca="false">IF(OR($C51="",$AA51="Open"),"",IF($L51="Closed",-IF($E51="Sell to open",1,-1)*$N51*$E$2*$H51,0))</f>
        <v/>
      </c>
      <c r="T51" s="15" t="str">
        <f aca="false">IF(OR($C51="",$AA51="Open"),"",$O51+$S51-$K51)</f>
        <v/>
      </c>
      <c r="U51" s="15" t="str">
        <f aca="false">IF(OR($C51="",$AA51="Open"),"",IF(AND($C51="Covered call",$L51="Assigned"),($F51-$J51)*$E$2*$H51,0))</f>
        <v/>
      </c>
      <c r="V51" s="15" t="str">
        <f aca="false">IF(OR($C51="",$AA51="Open"),"",$T51+$U51)</f>
        <v/>
      </c>
      <c r="W51" s="15" t="str">
        <f aca="false">IF($C51="","",IF(OR($C51="Long call",$C51="Long put"),$I51*$E$2*$H51,(IF($C51="Covered call",$J51,$F51)-$I51)*$E$2*$H51))</f>
        <v/>
      </c>
      <c r="X51" s="17" t="str">
        <f aca="false">IF(OR($C51="",$AA51="Open"),"",IF($W51&gt;0,$V51/$W51,""))</f>
        <v/>
      </c>
      <c r="Y51" s="17" t="str">
        <f aca="false">IF(OR($C51="",$AA51="Open"),"",IF($W51&gt;0,$X51*365/MAX($Q51,1),""))</f>
        <v/>
      </c>
      <c r="Z51" s="18" t="str">
        <f aca="false">IF(OR($C51="",$AA51="Open"),"",IF($M51&lt;&gt;"",$M51,$G51))</f>
        <v/>
      </c>
      <c r="AA51" s="12" t="str">
        <f aca="false">IF($C51="","",IF(OR($L51="Open",$L51=""),"Open","Realized"))</f>
        <v/>
      </c>
    </row>
    <row r="52" customFormat="false" ht="15" hidden="false" customHeight="false" outlineLevel="0" collapsed="false">
      <c r="A52" s="7"/>
      <c r="B52" s="9"/>
      <c r="C52" s="32"/>
      <c r="D52" s="12" t="str">
        <f aca="false">IF($C52="","",IF(OR($C52="Long call",$C52="Covered call"),"Call","Put"))</f>
        <v/>
      </c>
      <c r="E52" s="12" t="str">
        <f aca="false">IF($C52="","",IF(OR($C52="Long call",$C52="Long put"),"Buy to open","Sell to open"))</f>
        <v/>
      </c>
      <c r="F52" s="13"/>
      <c r="G52" s="7"/>
      <c r="H52" s="14"/>
      <c r="I52" s="13"/>
      <c r="J52" s="13"/>
      <c r="K52" s="13"/>
      <c r="L52" s="32"/>
      <c r="M52" s="7"/>
      <c r="N52" s="13"/>
      <c r="O52" s="15" t="str">
        <f aca="false">IF($C52="","",IF($E52="Sell to open",1,-1)*$I52*$E$2*$H52)</f>
        <v/>
      </c>
      <c r="P52" s="15" t="str">
        <f aca="false">IF($C52="","",IF($C52="Long call",$F52+$I52,IF($C52="Covered call",$J52-$I52,$F52-$I52)))</f>
        <v/>
      </c>
      <c r="Q52" s="16" t="str">
        <f aca="false">IF($C52="","",IF($AA52="Open",$B$2,IF($M52&lt;&gt;"",$M52,$G52))-$A52)</f>
        <v/>
      </c>
      <c r="R52" s="16" t="str">
        <f aca="false">IF($C52="","",IF($AA52="Open",MAX($G52-$B$2,0),""))</f>
        <v/>
      </c>
      <c r="S52" s="15" t="str">
        <f aca="false">IF(OR($C52="",$AA52="Open"),"",IF($L52="Closed",-IF($E52="Sell to open",1,-1)*$N52*$E$2*$H52,0))</f>
        <v/>
      </c>
      <c r="T52" s="15" t="str">
        <f aca="false">IF(OR($C52="",$AA52="Open"),"",$O52+$S52-$K52)</f>
        <v/>
      </c>
      <c r="U52" s="15" t="str">
        <f aca="false">IF(OR($C52="",$AA52="Open"),"",IF(AND($C52="Covered call",$L52="Assigned"),($F52-$J52)*$E$2*$H52,0))</f>
        <v/>
      </c>
      <c r="V52" s="15" t="str">
        <f aca="false">IF(OR($C52="",$AA52="Open"),"",$T52+$U52)</f>
        <v/>
      </c>
      <c r="W52" s="15" t="str">
        <f aca="false">IF($C52="","",IF(OR($C52="Long call",$C52="Long put"),$I52*$E$2*$H52,(IF($C52="Covered call",$J52,$F52)-$I52)*$E$2*$H52))</f>
        <v/>
      </c>
      <c r="X52" s="17" t="str">
        <f aca="false">IF(OR($C52="",$AA52="Open"),"",IF($W52&gt;0,$V52/$W52,""))</f>
        <v/>
      </c>
      <c r="Y52" s="17" t="str">
        <f aca="false">IF(OR($C52="",$AA52="Open"),"",IF($W52&gt;0,$X52*365/MAX($Q52,1),""))</f>
        <v/>
      </c>
      <c r="Z52" s="18" t="str">
        <f aca="false">IF(OR($C52="",$AA52="Open"),"",IF($M52&lt;&gt;"",$M52,$G52))</f>
        <v/>
      </c>
      <c r="AA52" s="12" t="str">
        <f aca="false">IF($C52="","",IF(OR($L52="Open",$L52=""),"Open","Realized"))</f>
        <v/>
      </c>
    </row>
    <row r="53" customFormat="false" ht="15" hidden="false" customHeight="false" outlineLevel="0" collapsed="false">
      <c r="A53" s="7"/>
      <c r="B53" s="9"/>
      <c r="C53" s="32"/>
      <c r="D53" s="12" t="str">
        <f aca="false">IF($C53="","",IF(OR($C53="Long call",$C53="Covered call"),"Call","Put"))</f>
        <v/>
      </c>
      <c r="E53" s="12" t="str">
        <f aca="false">IF($C53="","",IF(OR($C53="Long call",$C53="Long put"),"Buy to open","Sell to open"))</f>
        <v/>
      </c>
      <c r="F53" s="13"/>
      <c r="G53" s="7"/>
      <c r="H53" s="14"/>
      <c r="I53" s="13"/>
      <c r="J53" s="13"/>
      <c r="K53" s="13"/>
      <c r="L53" s="32"/>
      <c r="M53" s="7"/>
      <c r="N53" s="13"/>
      <c r="O53" s="15" t="str">
        <f aca="false">IF($C53="","",IF($E53="Sell to open",1,-1)*$I53*$E$2*$H53)</f>
        <v/>
      </c>
      <c r="P53" s="15" t="str">
        <f aca="false">IF($C53="","",IF($C53="Long call",$F53+$I53,IF($C53="Covered call",$J53-$I53,$F53-$I53)))</f>
        <v/>
      </c>
      <c r="Q53" s="16" t="str">
        <f aca="false">IF($C53="","",IF($AA53="Open",$B$2,IF($M53&lt;&gt;"",$M53,$G53))-$A53)</f>
        <v/>
      </c>
      <c r="R53" s="16" t="str">
        <f aca="false">IF($C53="","",IF($AA53="Open",MAX($G53-$B$2,0),""))</f>
        <v/>
      </c>
      <c r="S53" s="15" t="str">
        <f aca="false">IF(OR($C53="",$AA53="Open"),"",IF($L53="Closed",-IF($E53="Sell to open",1,-1)*$N53*$E$2*$H53,0))</f>
        <v/>
      </c>
      <c r="T53" s="15" t="str">
        <f aca="false">IF(OR($C53="",$AA53="Open"),"",$O53+$S53-$K53)</f>
        <v/>
      </c>
      <c r="U53" s="15" t="str">
        <f aca="false">IF(OR($C53="",$AA53="Open"),"",IF(AND($C53="Covered call",$L53="Assigned"),($F53-$J53)*$E$2*$H53,0))</f>
        <v/>
      </c>
      <c r="V53" s="15" t="str">
        <f aca="false">IF(OR($C53="",$AA53="Open"),"",$T53+$U53)</f>
        <v/>
      </c>
      <c r="W53" s="15" t="str">
        <f aca="false">IF($C53="","",IF(OR($C53="Long call",$C53="Long put"),$I53*$E$2*$H53,(IF($C53="Covered call",$J53,$F53)-$I53)*$E$2*$H53))</f>
        <v/>
      </c>
      <c r="X53" s="17" t="str">
        <f aca="false">IF(OR($C53="",$AA53="Open"),"",IF($W53&gt;0,$V53/$W53,""))</f>
        <v/>
      </c>
      <c r="Y53" s="17" t="str">
        <f aca="false">IF(OR($C53="",$AA53="Open"),"",IF($W53&gt;0,$X53*365/MAX($Q53,1),""))</f>
        <v/>
      </c>
      <c r="Z53" s="18" t="str">
        <f aca="false">IF(OR($C53="",$AA53="Open"),"",IF($M53&lt;&gt;"",$M53,$G53))</f>
        <v/>
      </c>
      <c r="AA53" s="12" t="str">
        <f aca="false">IF($C53="","",IF(OR($L53="Open",$L53=""),"Open","Realized"))</f>
        <v/>
      </c>
    </row>
    <row r="54" customFormat="false" ht="15" hidden="false" customHeight="false" outlineLevel="0" collapsed="false">
      <c r="A54" s="7"/>
      <c r="B54" s="9"/>
      <c r="C54" s="32"/>
      <c r="D54" s="12" t="str">
        <f aca="false">IF($C54="","",IF(OR($C54="Long call",$C54="Covered call"),"Call","Put"))</f>
        <v/>
      </c>
      <c r="E54" s="12" t="str">
        <f aca="false">IF($C54="","",IF(OR($C54="Long call",$C54="Long put"),"Buy to open","Sell to open"))</f>
        <v/>
      </c>
      <c r="F54" s="13"/>
      <c r="G54" s="7"/>
      <c r="H54" s="14"/>
      <c r="I54" s="13"/>
      <c r="J54" s="13"/>
      <c r="K54" s="13"/>
      <c r="L54" s="32"/>
      <c r="M54" s="7"/>
      <c r="N54" s="13"/>
      <c r="O54" s="15" t="str">
        <f aca="false">IF($C54="","",IF($E54="Sell to open",1,-1)*$I54*$E$2*$H54)</f>
        <v/>
      </c>
      <c r="P54" s="15" t="str">
        <f aca="false">IF($C54="","",IF($C54="Long call",$F54+$I54,IF($C54="Covered call",$J54-$I54,$F54-$I54)))</f>
        <v/>
      </c>
      <c r="Q54" s="16" t="str">
        <f aca="false">IF($C54="","",IF($AA54="Open",$B$2,IF($M54&lt;&gt;"",$M54,$G54))-$A54)</f>
        <v/>
      </c>
      <c r="R54" s="16" t="str">
        <f aca="false">IF($C54="","",IF($AA54="Open",MAX($G54-$B$2,0),""))</f>
        <v/>
      </c>
      <c r="S54" s="15" t="str">
        <f aca="false">IF(OR($C54="",$AA54="Open"),"",IF($L54="Closed",-IF($E54="Sell to open",1,-1)*$N54*$E$2*$H54,0))</f>
        <v/>
      </c>
      <c r="T54" s="15" t="str">
        <f aca="false">IF(OR($C54="",$AA54="Open"),"",$O54+$S54-$K54)</f>
        <v/>
      </c>
      <c r="U54" s="15" t="str">
        <f aca="false">IF(OR($C54="",$AA54="Open"),"",IF(AND($C54="Covered call",$L54="Assigned"),($F54-$J54)*$E$2*$H54,0))</f>
        <v/>
      </c>
      <c r="V54" s="15" t="str">
        <f aca="false">IF(OR($C54="",$AA54="Open"),"",$T54+$U54)</f>
        <v/>
      </c>
      <c r="W54" s="15" t="str">
        <f aca="false">IF($C54="","",IF(OR($C54="Long call",$C54="Long put"),$I54*$E$2*$H54,(IF($C54="Covered call",$J54,$F54)-$I54)*$E$2*$H54))</f>
        <v/>
      </c>
      <c r="X54" s="17" t="str">
        <f aca="false">IF(OR($C54="",$AA54="Open"),"",IF($W54&gt;0,$V54/$W54,""))</f>
        <v/>
      </c>
      <c r="Y54" s="17" t="str">
        <f aca="false">IF(OR($C54="",$AA54="Open"),"",IF($W54&gt;0,$X54*365/MAX($Q54,1),""))</f>
        <v/>
      </c>
      <c r="Z54" s="18" t="str">
        <f aca="false">IF(OR($C54="",$AA54="Open"),"",IF($M54&lt;&gt;"",$M54,$G54))</f>
        <v/>
      </c>
      <c r="AA54" s="12" t="str">
        <f aca="false">IF($C54="","",IF(OR($L54="Open",$L54=""),"Open","Realized"))</f>
        <v/>
      </c>
    </row>
    <row r="55" customFormat="false" ht="15" hidden="false" customHeight="false" outlineLevel="0" collapsed="false">
      <c r="A55" s="7"/>
      <c r="B55" s="9"/>
      <c r="C55" s="32"/>
      <c r="D55" s="12" t="str">
        <f aca="false">IF($C55="","",IF(OR($C55="Long call",$C55="Covered call"),"Call","Put"))</f>
        <v/>
      </c>
      <c r="E55" s="12" t="str">
        <f aca="false">IF($C55="","",IF(OR($C55="Long call",$C55="Long put"),"Buy to open","Sell to open"))</f>
        <v/>
      </c>
      <c r="F55" s="13"/>
      <c r="G55" s="7"/>
      <c r="H55" s="14"/>
      <c r="I55" s="13"/>
      <c r="J55" s="13"/>
      <c r="K55" s="13"/>
      <c r="L55" s="32"/>
      <c r="M55" s="7"/>
      <c r="N55" s="13"/>
      <c r="O55" s="15" t="str">
        <f aca="false">IF($C55="","",IF($E55="Sell to open",1,-1)*$I55*$E$2*$H55)</f>
        <v/>
      </c>
      <c r="P55" s="15" t="str">
        <f aca="false">IF($C55="","",IF($C55="Long call",$F55+$I55,IF($C55="Covered call",$J55-$I55,$F55-$I55)))</f>
        <v/>
      </c>
      <c r="Q55" s="16" t="str">
        <f aca="false">IF($C55="","",IF($AA55="Open",$B$2,IF($M55&lt;&gt;"",$M55,$G55))-$A55)</f>
        <v/>
      </c>
      <c r="R55" s="16" t="str">
        <f aca="false">IF($C55="","",IF($AA55="Open",MAX($G55-$B$2,0),""))</f>
        <v/>
      </c>
      <c r="S55" s="15" t="str">
        <f aca="false">IF(OR($C55="",$AA55="Open"),"",IF($L55="Closed",-IF($E55="Sell to open",1,-1)*$N55*$E$2*$H55,0))</f>
        <v/>
      </c>
      <c r="T55" s="15" t="str">
        <f aca="false">IF(OR($C55="",$AA55="Open"),"",$O55+$S55-$K55)</f>
        <v/>
      </c>
      <c r="U55" s="15" t="str">
        <f aca="false">IF(OR($C55="",$AA55="Open"),"",IF(AND($C55="Covered call",$L55="Assigned"),($F55-$J55)*$E$2*$H55,0))</f>
        <v/>
      </c>
      <c r="V55" s="15" t="str">
        <f aca="false">IF(OR($C55="",$AA55="Open"),"",$T55+$U55)</f>
        <v/>
      </c>
      <c r="W55" s="15" t="str">
        <f aca="false">IF($C55="","",IF(OR($C55="Long call",$C55="Long put"),$I55*$E$2*$H55,(IF($C55="Covered call",$J55,$F55)-$I55)*$E$2*$H55))</f>
        <v/>
      </c>
      <c r="X55" s="17" t="str">
        <f aca="false">IF(OR($C55="",$AA55="Open"),"",IF($W55&gt;0,$V55/$W55,""))</f>
        <v/>
      </c>
      <c r="Y55" s="17" t="str">
        <f aca="false">IF(OR($C55="",$AA55="Open"),"",IF($W55&gt;0,$X55*365/MAX($Q55,1),""))</f>
        <v/>
      </c>
      <c r="Z55" s="18" t="str">
        <f aca="false">IF(OR($C55="",$AA55="Open"),"",IF($M55&lt;&gt;"",$M55,$G55))</f>
        <v/>
      </c>
      <c r="AA55" s="12" t="str">
        <f aca="false">IF($C55="","",IF(OR($L55="Open",$L55=""),"Open","Realized"))</f>
        <v/>
      </c>
    </row>
    <row r="56" customFormat="false" ht="15" hidden="false" customHeight="false" outlineLevel="0" collapsed="false">
      <c r="A56" s="7"/>
      <c r="B56" s="9"/>
      <c r="C56" s="32"/>
      <c r="D56" s="12" t="str">
        <f aca="false">IF($C56="","",IF(OR($C56="Long call",$C56="Covered call"),"Call","Put"))</f>
        <v/>
      </c>
      <c r="E56" s="12" t="str">
        <f aca="false">IF($C56="","",IF(OR($C56="Long call",$C56="Long put"),"Buy to open","Sell to open"))</f>
        <v/>
      </c>
      <c r="F56" s="13"/>
      <c r="G56" s="7"/>
      <c r="H56" s="14"/>
      <c r="I56" s="13"/>
      <c r="J56" s="13"/>
      <c r="K56" s="13"/>
      <c r="L56" s="32"/>
      <c r="M56" s="7"/>
      <c r="N56" s="13"/>
      <c r="O56" s="15" t="str">
        <f aca="false">IF($C56="","",IF($E56="Sell to open",1,-1)*$I56*$E$2*$H56)</f>
        <v/>
      </c>
      <c r="P56" s="15" t="str">
        <f aca="false">IF($C56="","",IF($C56="Long call",$F56+$I56,IF($C56="Covered call",$J56-$I56,$F56-$I56)))</f>
        <v/>
      </c>
      <c r="Q56" s="16" t="str">
        <f aca="false">IF($C56="","",IF($AA56="Open",$B$2,IF($M56&lt;&gt;"",$M56,$G56))-$A56)</f>
        <v/>
      </c>
      <c r="R56" s="16" t="str">
        <f aca="false">IF($C56="","",IF($AA56="Open",MAX($G56-$B$2,0),""))</f>
        <v/>
      </c>
      <c r="S56" s="15" t="str">
        <f aca="false">IF(OR($C56="",$AA56="Open"),"",IF($L56="Closed",-IF($E56="Sell to open",1,-1)*$N56*$E$2*$H56,0))</f>
        <v/>
      </c>
      <c r="T56" s="15" t="str">
        <f aca="false">IF(OR($C56="",$AA56="Open"),"",$O56+$S56-$K56)</f>
        <v/>
      </c>
      <c r="U56" s="15" t="str">
        <f aca="false">IF(OR($C56="",$AA56="Open"),"",IF(AND($C56="Covered call",$L56="Assigned"),($F56-$J56)*$E$2*$H56,0))</f>
        <v/>
      </c>
      <c r="V56" s="15" t="str">
        <f aca="false">IF(OR($C56="",$AA56="Open"),"",$T56+$U56)</f>
        <v/>
      </c>
      <c r="W56" s="15" t="str">
        <f aca="false">IF($C56="","",IF(OR($C56="Long call",$C56="Long put"),$I56*$E$2*$H56,(IF($C56="Covered call",$J56,$F56)-$I56)*$E$2*$H56))</f>
        <v/>
      </c>
      <c r="X56" s="17" t="str">
        <f aca="false">IF(OR($C56="",$AA56="Open"),"",IF($W56&gt;0,$V56/$W56,""))</f>
        <v/>
      </c>
      <c r="Y56" s="17" t="str">
        <f aca="false">IF(OR($C56="",$AA56="Open"),"",IF($W56&gt;0,$X56*365/MAX($Q56,1),""))</f>
        <v/>
      </c>
      <c r="Z56" s="18" t="str">
        <f aca="false">IF(OR($C56="",$AA56="Open"),"",IF($M56&lt;&gt;"",$M56,$G56))</f>
        <v/>
      </c>
      <c r="AA56" s="12" t="str">
        <f aca="false">IF($C56="","",IF(OR($L56="Open",$L56=""),"Open","Realized"))</f>
        <v/>
      </c>
    </row>
    <row r="57" customFormat="false" ht="15" hidden="false" customHeight="false" outlineLevel="0" collapsed="false">
      <c r="A57" s="7"/>
      <c r="B57" s="9"/>
      <c r="C57" s="32"/>
      <c r="D57" s="12" t="str">
        <f aca="false">IF($C57="","",IF(OR($C57="Long call",$C57="Covered call"),"Call","Put"))</f>
        <v/>
      </c>
      <c r="E57" s="12" t="str">
        <f aca="false">IF($C57="","",IF(OR($C57="Long call",$C57="Long put"),"Buy to open","Sell to open"))</f>
        <v/>
      </c>
      <c r="F57" s="13"/>
      <c r="G57" s="7"/>
      <c r="H57" s="14"/>
      <c r="I57" s="13"/>
      <c r="J57" s="13"/>
      <c r="K57" s="13"/>
      <c r="L57" s="32"/>
      <c r="M57" s="7"/>
      <c r="N57" s="13"/>
      <c r="O57" s="15" t="str">
        <f aca="false">IF($C57="","",IF($E57="Sell to open",1,-1)*$I57*$E$2*$H57)</f>
        <v/>
      </c>
      <c r="P57" s="15" t="str">
        <f aca="false">IF($C57="","",IF($C57="Long call",$F57+$I57,IF($C57="Covered call",$J57-$I57,$F57-$I57)))</f>
        <v/>
      </c>
      <c r="Q57" s="16" t="str">
        <f aca="false">IF($C57="","",IF($AA57="Open",$B$2,IF($M57&lt;&gt;"",$M57,$G57))-$A57)</f>
        <v/>
      </c>
      <c r="R57" s="16" t="str">
        <f aca="false">IF($C57="","",IF($AA57="Open",MAX($G57-$B$2,0),""))</f>
        <v/>
      </c>
      <c r="S57" s="15" t="str">
        <f aca="false">IF(OR($C57="",$AA57="Open"),"",IF($L57="Closed",-IF($E57="Sell to open",1,-1)*$N57*$E$2*$H57,0))</f>
        <v/>
      </c>
      <c r="T57" s="15" t="str">
        <f aca="false">IF(OR($C57="",$AA57="Open"),"",$O57+$S57-$K57)</f>
        <v/>
      </c>
      <c r="U57" s="15" t="str">
        <f aca="false">IF(OR($C57="",$AA57="Open"),"",IF(AND($C57="Covered call",$L57="Assigned"),($F57-$J57)*$E$2*$H57,0))</f>
        <v/>
      </c>
      <c r="V57" s="15" t="str">
        <f aca="false">IF(OR($C57="",$AA57="Open"),"",$T57+$U57)</f>
        <v/>
      </c>
      <c r="W57" s="15" t="str">
        <f aca="false">IF($C57="","",IF(OR($C57="Long call",$C57="Long put"),$I57*$E$2*$H57,(IF($C57="Covered call",$J57,$F57)-$I57)*$E$2*$H57))</f>
        <v/>
      </c>
      <c r="X57" s="17" t="str">
        <f aca="false">IF(OR($C57="",$AA57="Open"),"",IF($W57&gt;0,$V57/$W57,""))</f>
        <v/>
      </c>
      <c r="Y57" s="17" t="str">
        <f aca="false">IF(OR($C57="",$AA57="Open"),"",IF($W57&gt;0,$X57*365/MAX($Q57,1),""))</f>
        <v/>
      </c>
      <c r="Z57" s="18" t="str">
        <f aca="false">IF(OR($C57="",$AA57="Open"),"",IF($M57&lt;&gt;"",$M57,$G57))</f>
        <v/>
      </c>
      <c r="AA57" s="12" t="str">
        <f aca="false">IF($C57="","",IF(OR($L57="Open",$L57=""),"Open","Realized"))</f>
        <v/>
      </c>
    </row>
    <row r="58" customFormat="false" ht="15" hidden="false" customHeight="false" outlineLevel="0" collapsed="false">
      <c r="A58" s="7"/>
      <c r="B58" s="9"/>
      <c r="C58" s="32"/>
      <c r="D58" s="12" t="str">
        <f aca="false">IF($C58="","",IF(OR($C58="Long call",$C58="Covered call"),"Call","Put"))</f>
        <v/>
      </c>
      <c r="E58" s="12" t="str">
        <f aca="false">IF($C58="","",IF(OR($C58="Long call",$C58="Long put"),"Buy to open","Sell to open"))</f>
        <v/>
      </c>
      <c r="F58" s="13"/>
      <c r="G58" s="7"/>
      <c r="H58" s="14"/>
      <c r="I58" s="13"/>
      <c r="J58" s="13"/>
      <c r="K58" s="13"/>
      <c r="L58" s="32"/>
      <c r="M58" s="7"/>
      <c r="N58" s="13"/>
      <c r="O58" s="15" t="str">
        <f aca="false">IF($C58="","",IF($E58="Sell to open",1,-1)*$I58*$E$2*$H58)</f>
        <v/>
      </c>
      <c r="P58" s="15" t="str">
        <f aca="false">IF($C58="","",IF($C58="Long call",$F58+$I58,IF($C58="Covered call",$J58-$I58,$F58-$I58)))</f>
        <v/>
      </c>
      <c r="Q58" s="16" t="str">
        <f aca="false">IF($C58="","",IF($AA58="Open",$B$2,IF($M58&lt;&gt;"",$M58,$G58))-$A58)</f>
        <v/>
      </c>
      <c r="R58" s="16" t="str">
        <f aca="false">IF($C58="","",IF($AA58="Open",MAX($G58-$B$2,0),""))</f>
        <v/>
      </c>
      <c r="S58" s="15" t="str">
        <f aca="false">IF(OR($C58="",$AA58="Open"),"",IF($L58="Closed",-IF($E58="Sell to open",1,-1)*$N58*$E$2*$H58,0))</f>
        <v/>
      </c>
      <c r="T58" s="15" t="str">
        <f aca="false">IF(OR($C58="",$AA58="Open"),"",$O58+$S58-$K58)</f>
        <v/>
      </c>
      <c r="U58" s="15" t="str">
        <f aca="false">IF(OR($C58="",$AA58="Open"),"",IF(AND($C58="Covered call",$L58="Assigned"),($F58-$J58)*$E$2*$H58,0))</f>
        <v/>
      </c>
      <c r="V58" s="15" t="str">
        <f aca="false">IF(OR($C58="",$AA58="Open"),"",$T58+$U58)</f>
        <v/>
      </c>
      <c r="W58" s="15" t="str">
        <f aca="false">IF($C58="","",IF(OR($C58="Long call",$C58="Long put"),$I58*$E$2*$H58,(IF($C58="Covered call",$J58,$F58)-$I58)*$E$2*$H58))</f>
        <v/>
      </c>
      <c r="X58" s="17" t="str">
        <f aca="false">IF(OR($C58="",$AA58="Open"),"",IF($W58&gt;0,$V58/$W58,""))</f>
        <v/>
      </c>
      <c r="Y58" s="17" t="str">
        <f aca="false">IF(OR($C58="",$AA58="Open"),"",IF($W58&gt;0,$X58*365/MAX($Q58,1),""))</f>
        <v/>
      </c>
      <c r="Z58" s="18" t="str">
        <f aca="false">IF(OR($C58="",$AA58="Open"),"",IF($M58&lt;&gt;"",$M58,$G58))</f>
        <v/>
      </c>
      <c r="AA58" s="12" t="str">
        <f aca="false">IF($C58="","",IF(OR($L58="Open",$L58=""),"Open","Realized"))</f>
        <v/>
      </c>
    </row>
    <row r="59" customFormat="false" ht="15" hidden="false" customHeight="false" outlineLevel="0" collapsed="false">
      <c r="A59" s="7"/>
      <c r="B59" s="9"/>
      <c r="C59" s="32"/>
      <c r="D59" s="12" t="str">
        <f aca="false">IF($C59="","",IF(OR($C59="Long call",$C59="Covered call"),"Call","Put"))</f>
        <v/>
      </c>
      <c r="E59" s="12" t="str">
        <f aca="false">IF($C59="","",IF(OR($C59="Long call",$C59="Long put"),"Buy to open","Sell to open"))</f>
        <v/>
      </c>
      <c r="F59" s="13"/>
      <c r="G59" s="7"/>
      <c r="H59" s="14"/>
      <c r="I59" s="13"/>
      <c r="J59" s="13"/>
      <c r="K59" s="13"/>
      <c r="L59" s="32"/>
      <c r="M59" s="7"/>
      <c r="N59" s="13"/>
      <c r="O59" s="15" t="str">
        <f aca="false">IF($C59="","",IF($E59="Sell to open",1,-1)*$I59*$E$2*$H59)</f>
        <v/>
      </c>
      <c r="P59" s="15" t="str">
        <f aca="false">IF($C59="","",IF($C59="Long call",$F59+$I59,IF($C59="Covered call",$J59-$I59,$F59-$I59)))</f>
        <v/>
      </c>
      <c r="Q59" s="16" t="str">
        <f aca="false">IF($C59="","",IF($AA59="Open",$B$2,IF($M59&lt;&gt;"",$M59,$G59))-$A59)</f>
        <v/>
      </c>
      <c r="R59" s="16" t="str">
        <f aca="false">IF($C59="","",IF($AA59="Open",MAX($G59-$B$2,0),""))</f>
        <v/>
      </c>
      <c r="S59" s="15" t="str">
        <f aca="false">IF(OR($C59="",$AA59="Open"),"",IF($L59="Closed",-IF($E59="Sell to open",1,-1)*$N59*$E$2*$H59,0))</f>
        <v/>
      </c>
      <c r="T59" s="15" t="str">
        <f aca="false">IF(OR($C59="",$AA59="Open"),"",$O59+$S59-$K59)</f>
        <v/>
      </c>
      <c r="U59" s="15" t="str">
        <f aca="false">IF(OR($C59="",$AA59="Open"),"",IF(AND($C59="Covered call",$L59="Assigned"),($F59-$J59)*$E$2*$H59,0))</f>
        <v/>
      </c>
      <c r="V59" s="15" t="str">
        <f aca="false">IF(OR($C59="",$AA59="Open"),"",$T59+$U59)</f>
        <v/>
      </c>
      <c r="W59" s="15" t="str">
        <f aca="false">IF($C59="","",IF(OR($C59="Long call",$C59="Long put"),$I59*$E$2*$H59,(IF($C59="Covered call",$J59,$F59)-$I59)*$E$2*$H59))</f>
        <v/>
      </c>
      <c r="X59" s="17" t="str">
        <f aca="false">IF(OR($C59="",$AA59="Open"),"",IF($W59&gt;0,$V59/$W59,""))</f>
        <v/>
      </c>
      <c r="Y59" s="17" t="str">
        <f aca="false">IF(OR($C59="",$AA59="Open"),"",IF($W59&gt;0,$X59*365/MAX($Q59,1),""))</f>
        <v/>
      </c>
      <c r="Z59" s="18" t="str">
        <f aca="false">IF(OR($C59="",$AA59="Open"),"",IF($M59&lt;&gt;"",$M59,$G59))</f>
        <v/>
      </c>
      <c r="AA59" s="12" t="str">
        <f aca="false">IF($C59="","",IF(OR($L59="Open",$L59=""),"Open","Realized"))</f>
        <v/>
      </c>
    </row>
    <row r="60" customFormat="false" ht="15" hidden="false" customHeight="false" outlineLevel="0" collapsed="false">
      <c r="A60" s="7"/>
      <c r="B60" s="9"/>
      <c r="C60" s="32"/>
      <c r="D60" s="12" t="str">
        <f aca="false">IF($C60="","",IF(OR($C60="Long call",$C60="Covered call"),"Call","Put"))</f>
        <v/>
      </c>
      <c r="E60" s="12" t="str">
        <f aca="false">IF($C60="","",IF(OR($C60="Long call",$C60="Long put"),"Buy to open","Sell to open"))</f>
        <v/>
      </c>
      <c r="F60" s="13"/>
      <c r="G60" s="7"/>
      <c r="H60" s="14"/>
      <c r="I60" s="13"/>
      <c r="J60" s="13"/>
      <c r="K60" s="13"/>
      <c r="L60" s="32"/>
      <c r="M60" s="7"/>
      <c r="N60" s="13"/>
      <c r="O60" s="15" t="str">
        <f aca="false">IF($C60="","",IF($E60="Sell to open",1,-1)*$I60*$E$2*$H60)</f>
        <v/>
      </c>
      <c r="P60" s="15" t="str">
        <f aca="false">IF($C60="","",IF($C60="Long call",$F60+$I60,IF($C60="Covered call",$J60-$I60,$F60-$I60)))</f>
        <v/>
      </c>
      <c r="Q60" s="16" t="str">
        <f aca="false">IF($C60="","",IF($AA60="Open",$B$2,IF($M60&lt;&gt;"",$M60,$G60))-$A60)</f>
        <v/>
      </c>
      <c r="R60" s="16" t="str">
        <f aca="false">IF($C60="","",IF($AA60="Open",MAX($G60-$B$2,0),""))</f>
        <v/>
      </c>
      <c r="S60" s="15" t="str">
        <f aca="false">IF(OR($C60="",$AA60="Open"),"",IF($L60="Closed",-IF($E60="Sell to open",1,-1)*$N60*$E$2*$H60,0))</f>
        <v/>
      </c>
      <c r="T60" s="15" t="str">
        <f aca="false">IF(OR($C60="",$AA60="Open"),"",$O60+$S60-$K60)</f>
        <v/>
      </c>
      <c r="U60" s="15" t="str">
        <f aca="false">IF(OR($C60="",$AA60="Open"),"",IF(AND($C60="Covered call",$L60="Assigned"),($F60-$J60)*$E$2*$H60,0))</f>
        <v/>
      </c>
      <c r="V60" s="15" t="str">
        <f aca="false">IF(OR($C60="",$AA60="Open"),"",$T60+$U60)</f>
        <v/>
      </c>
      <c r="W60" s="15" t="str">
        <f aca="false">IF($C60="","",IF(OR($C60="Long call",$C60="Long put"),$I60*$E$2*$H60,(IF($C60="Covered call",$J60,$F60)-$I60)*$E$2*$H60))</f>
        <v/>
      </c>
      <c r="X60" s="17" t="str">
        <f aca="false">IF(OR($C60="",$AA60="Open"),"",IF($W60&gt;0,$V60/$W60,""))</f>
        <v/>
      </c>
      <c r="Y60" s="17" t="str">
        <f aca="false">IF(OR($C60="",$AA60="Open"),"",IF($W60&gt;0,$X60*365/MAX($Q60,1),""))</f>
        <v/>
      </c>
      <c r="Z60" s="18" t="str">
        <f aca="false">IF(OR($C60="",$AA60="Open"),"",IF($M60&lt;&gt;"",$M60,$G60))</f>
        <v/>
      </c>
      <c r="AA60" s="12" t="str">
        <f aca="false">IF($C60="","",IF(OR($L60="Open",$L60=""),"Open","Realized"))</f>
        <v/>
      </c>
    </row>
    <row r="61" customFormat="false" ht="15" hidden="false" customHeight="false" outlineLevel="0" collapsed="false">
      <c r="A61" s="7"/>
      <c r="B61" s="9"/>
      <c r="C61" s="32"/>
      <c r="D61" s="12" t="str">
        <f aca="false">IF($C61="","",IF(OR($C61="Long call",$C61="Covered call"),"Call","Put"))</f>
        <v/>
      </c>
      <c r="E61" s="12" t="str">
        <f aca="false">IF($C61="","",IF(OR($C61="Long call",$C61="Long put"),"Buy to open","Sell to open"))</f>
        <v/>
      </c>
      <c r="F61" s="13"/>
      <c r="G61" s="7"/>
      <c r="H61" s="14"/>
      <c r="I61" s="13"/>
      <c r="J61" s="13"/>
      <c r="K61" s="13"/>
      <c r="L61" s="32"/>
      <c r="M61" s="7"/>
      <c r="N61" s="13"/>
      <c r="O61" s="15" t="str">
        <f aca="false">IF($C61="","",IF($E61="Sell to open",1,-1)*$I61*$E$2*$H61)</f>
        <v/>
      </c>
      <c r="P61" s="15" t="str">
        <f aca="false">IF($C61="","",IF($C61="Long call",$F61+$I61,IF($C61="Covered call",$J61-$I61,$F61-$I61)))</f>
        <v/>
      </c>
      <c r="Q61" s="16" t="str">
        <f aca="false">IF($C61="","",IF($AA61="Open",$B$2,IF($M61&lt;&gt;"",$M61,$G61))-$A61)</f>
        <v/>
      </c>
      <c r="R61" s="16" t="str">
        <f aca="false">IF($C61="","",IF($AA61="Open",MAX($G61-$B$2,0),""))</f>
        <v/>
      </c>
      <c r="S61" s="15" t="str">
        <f aca="false">IF(OR($C61="",$AA61="Open"),"",IF($L61="Closed",-IF($E61="Sell to open",1,-1)*$N61*$E$2*$H61,0))</f>
        <v/>
      </c>
      <c r="T61" s="15" t="str">
        <f aca="false">IF(OR($C61="",$AA61="Open"),"",$O61+$S61-$K61)</f>
        <v/>
      </c>
      <c r="U61" s="15" t="str">
        <f aca="false">IF(OR($C61="",$AA61="Open"),"",IF(AND($C61="Covered call",$L61="Assigned"),($F61-$J61)*$E$2*$H61,0))</f>
        <v/>
      </c>
      <c r="V61" s="15" t="str">
        <f aca="false">IF(OR($C61="",$AA61="Open"),"",$T61+$U61)</f>
        <v/>
      </c>
      <c r="W61" s="15" t="str">
        <f aca="false">IF($C61="","",IF(OR($C61="Long call",$C61="Long put"),$I61*$E$2*$H61,(IF($C61="Covered call",$J61,$F61)-$I61)*$E$2*$H61))</f>
        <v/>
      </c>
      <c r="X61" s="17" t="str">
        <f aca="false">IF(OR($C61="",$AA61="Open"),"",IF($W61&gt;0,$V61/$W61,""))</f>
        <v/>
      </c>
      <c r="Y61" s="17" t="str">
        <f aca="false">IF(OR($C61="",$AA61="Open"),"",IF($W61&gt;0,$X61*365/MAX($Q61,1),""))</f>
        <v/>
      </c>
      <c r="Z61" s="18" t="str">
        <f aca="false">IF(OR($C61="",$AA61="Open"),"",IF($M61&lt;&gt;"",$M61,$G61))</f>
        <v/>
      </c>
      <c r="AA61" s="12" t="str">
        <f aca="false">IF($C61="","",IF(OR($L61="Open",$L61=""),"Open","Realized"))</f>
        <v/>
      </c>
    </row>
    <row r="62" customFormat="false" ht="15" hidden="false" customHeight="false" outlineLevel="0" collapsed="false">
      <c r="A62" s="7"/>
      <c r="B62" s="9"/>
      <c r="C62" s="32"/>
      <c r="D62" s="12" t="str">
        <f aca="false">IF($C62="","",IF(OR($C62="Long call",$C62="Covered call"),"Call","Put"))</f>
        <v/>
      </c>
      <c r="E62" s="12" t="str">
        <f aca="false">IF($C62="","",IF(OR($C62="Long call",$C62="Long put"),"Buy to open","Sell to open"))</f>
        <v/>
      </c>
      <c r="F62" s="13"/>
      <c r="G62" s="7"/>
      <c r="H62" s="14"/>
      <c r="I62" s="13"/>
      <c r="J62" s="13"/>
      <c r="K62" s="13"/>
      <c r="L62" s="32"/>
      <c r="M62" s="7"/>
      <c r="N62" s="13"/>
      <c r="O62" s="15" t="str">
        <f aca="false">IF($C62="","",IF($E62="Sell to open",1,-1)*$I62*$E$2*$H62)</f>
        <v/>
      </c>
      <c r="P62" s="15" t="str">
        <f aca="false">IF($C62="","",IF($C62="Long call",$F62+$I62,IF($C62="Covered call",$J62-$I62,$F62-$I62)))</f>
        <v/>
      </c>
      <c r="Q62" s="16" t="str">
        <f aca="false">IF($C62="","",IF($AA62="Open",$B$2,IF($M62&lt;&gt;"",$M62,$G62))-$A62)</f>
        <v/>
      </c>
      <c r="R62" s="16" t="str">
        <f aca="false">IF($C62="","",IF($AA62="Open",MAX($G62-$B$2,0),""))</f>
        <v/>
      </c>
      <c r="S62" s="15" t="str">
        <f aca="false">IF(OR($C62="",$AA62="Open"),"",IF($L62="Closed",-IF($E62="Sell to open",1,-1)*$N62*$E$2*$H62,0))</f>
        <v/>
      </c>
      <c r="T62" s="15" t="str">
        <f aca="false">IF(OR($C62="",$AA62="Open"),"",$O62+$S62-$K62)</f>
        <v/>
      </c>
      <c r="U62" s="15" t="str">
        <f aca="false">IF(OR($C62="",$AA62="Open"),"",IF(AND($C62="Covered call",$L62="Assigned"),($F62-$J62)*$E$2*$H62,0))</f>
        <v/>
      </c>
      <c r="V62" s="15" t="str">
        <f aca="false">IF(OR($C62="",$AA62="Open"),"",$T62+$U62)</f>
        <v/>
      </c>
      <c r="W62" s="15" t="str">
        <f aca="false">IF($C62="","",IF(OR($C62="Long call",$C62="Long put"),$I62*$E$2*$H62,(IF($C62="Covered call",$J62,$F62)-$I62)*$E$2*$H62))</f>
        <v/>
      </c>
      <c r="X62" s="17" t="str">
        <f aca="false">IF(OR($C62="",$AA62="Open"),"",IF($W62&gt;0,$V62/$W62,""))</f>
        <v/>
      </c>
      <c r="Y62" s="17" t="str">
        <f aca="false">IF(OR($C62="",$AA62="Open"),"",IF($W62&gt;0,$X62*365/MAX($Q62,1),""))</f>
        <v/>
      </c>
      <c r="Z62" s="18" t="str">
        <f aca="false">IF(OR($C62="",$AA62="Open"),"",IF($M62&lt;&gt;"",$M62,$G62))</f>
        <v/>
      </c>
      <c r="AA62" s="12" t="str">
        <f aca="false">IF($C62="","",IF(OR($L62="Open",$L62=""),"Open","Realized"))</f>
        <v/>
      </c>
    </row>
    <row r="63" customFormat="false" ht="15" hidden="false" customHeight="false" outlineLevel="0" collapsed="false">
      <c r="A63" s="7"/>
      <c r="B63" s="9"/>
      <c r="C63" s="32"/>
      <c r="D63" s="12" t="str">
        <f aca="false">IF($C63="","",IF(OR($C63="Long call",$C63="Covered call"),"Call","Put"))</f>
        <v/>
      </c>
      <c r="E63" s="12" t="str">
        <f aca="false">IF($C63="","",IF(OR($C63="Long call",$C63="Long put"),"Buy to open","Sell to open"))</f>
        <v/>
      </c>
      <c r="F63" s="13"/>
      <c r="G63" s="7"/>
      <c r="H63" s="14"/>
      <c r="I63" s="13"/>
      <c r="J63" s="13"/>
      <c r="K63" s="13"/>
      <c r="L63" s="32"/>
      <c r="M63" s="7"/>
      <c r="N63" s="13"/>
      <c r="O63" s="15" t="str">
        <f aca="false">IF($C63="","",IF($E63="Sell to open",1,-1)*$I63*$E$2*$H63)</f>
        <v/>
      </c>
      <c r="P63" s="15" t="str">
        <f aca="false">IF($C63="","",IF($C63="Long call",$F63+$I63,IF($C63="Covered call",$J63-$I63,$F63-$I63)))</f>
        <v/>
      </c>
      <c r="Q63" s="16" t="str">
        <f aca="false">IF($C63="","",IF($AA63="Open",$B$2,IF($M63&lt;&gt;"",$M63,$G63))-$A63)</f>
        <v/>
      </c>
      <c r="R63" s="16" t="str">
        <f aca="false">IF($C63="","",IF($AA63="Open",MAX($G63-$B$2,0),""))</f>
        <v/>
      </c>
      <c r="S63" s="15" t="str">
        <f aca="false">IF(OR($C63="",$AA63="Open"),"",IF($L63="Closed",-IF($E63="Sell to open",1,-1)*$N63*$E$2*$H63,0))</f>
        <v/>
      </c>
      <c r="T63" s="15" t="str">
        <f aca="false">IF(OR($C63="",$AA63="Open"),"",$O63+$S63-$K63)</f>
        <v/>
      </c>
      <c r="U63" s="15" t="str">
        <f aca="false">IF(OR($C63="",$AA63="Open"),"",IF(AND($C63="Covered call",$L63="Assigned"),($F63-$J63)*$E$2*$H63,0))</f>
        <v/>
      </c>
      <c r="V63" s="15" t="str">
        <f aca="false">IF(OR($C63="",$AA63="Open"),"",$T63+$U63)</f>
        <v/>
      </c>
      <c r="W63" s="15" t="str">
        <f aca="false">IF($C63="","",IF(OR($C63="Long call",$C63="Long put"),$I63*$E$2*$H63,(IF($C63="Covered call",$J63,$F63)-$I63)*$E$2*$H63))</f>
        <v/>
      </c>
      <c r="X63" s="17" t="str">
        <f aca="false">IF(OR($C63="",$AA63="Open"),"",IF($W63&gt;0,$V63/$W63,""))</f>
        <v/>
      </c>
      <c r="Y63" s="17" t="str">
        <f aca="false">IF(OR($C63="",$AA63="Open"),"",IF($W63&gt;0,$X63*365/MAX($Q63,1),""))</f>
        <v/>
      </c>
      <c r="Z63" s="18" t="str">
        <f aca="false">IF(OR($C63="",$AA63="Open"),"",IF($M63&lt;&gt;"",$M63,$G63))</f>
        <v/>
      </c>
      <c r="AA63" s="12" t="str">
        <f aca="false">IF($C63="","",IF(OR($L63="Open",$L63=""),"Open","Realized"))</f>
        <v/>
      </c>
    </row>
    <row r="64" customFormat="false" ht="15" hidden="false" customHeight="false" outlineLevel="0" collapsed="false">
      <c r="A64" s="7"/>
      <c r="B64" s="9"/>
      <c r="C64" s="32"/>
      <c r="D64" s="12" t="str">
        <f aca="false">IF($C64="","",IF(OR($C64="Long call",$C64="Covered call"),"Call","Put"))</f>
        <v/>
      </c>
      <c r="E64" s="12" t="str">
        <f aca="false">IF($C64="","",IF(OR($C64="Long call",$C64="Long put"),"Buy to open","Sell to open"))</f>
        <v/>
      </c>
      <c r="F64" s="13"/>
      <c r="G64" s="7"/>
      <c r="H64" s="14"/>
      <c r="I64" s="13"/>
      <c r="J64" s="13"/>
      <c r="K64" s="13"/>
      <c r="L64" s="32"/>
      <c r="M64" s="7"/>
      <c r="N64" s="13"/>
      <c r="O64" s="15" t="str">
        <f aca="false">IF($C64="","",IF($E64="Sell to open",1,-1)*$I64*$E$2*$H64)</f>
        <v/>
      </c>
      <c r="P64" s="15" t="str">
        <f aca="false">IF($C64="","",IF($C64="Long call",$F64+$I64,IF($C64="Covered call",$J64-$I64,$F64-$I64)))</f>
        <v/>
      </c>
      <c r="Q64" s="16" t="str">
        <f aca="false">IF($C64="","",IF($AA64="Open",$B$2,IF($M64&lt;&gt;"",$M64,$G64))-$A64)</f>
        <v/>
      </c>
      <c r="R64" s="16" t="str">
        <f aca="false">IF($C64="","",IF($AA64="Open",MAX($G64-$B$2,0),""))</f>
        <v/>
      </c>
      <c r="S64" s="15" t="str">
        <f aca="false">IF(OR($C64="",$AA64="Open"),"",IF($L64="Closed",-IF($E64="Sell to open",1,-1)*$N64*$E$2*$H64,0))</f>
        <v/>
      </c>
      <c r="T64" s="15" t="str">
        <f aca="false">IF(OR($C64="",$AA64="Open"),"",$O64+$S64-$K64)</f>
        <v/>
      </c>
      <c r="U64" s="15" t="str">
        <f aca="false">IF(OR($C64="",$AA64="Open"),"",IF(AND($C64="Covered call",$L64="Assigned"),($F64-$J64)*$E$2*$H64,0))</f>
        <v/>
      </c>
      <c r="V64" s="15" t="str">
        <f aca="false">IF(OR($C64="",$AA64="Open"),"",$T64+$U64)</f>
        <v/>
      </c>
      <c r="W64" s="15" t="str">
        <f aca="false">IF($C64="","",IF(OR($C64="Long call",$C64="Long put"),$I64*$E$2*$H64,(IF($C64="Covered call",$J64,$F64)-$I64)*$E$2*$H64))</f>
        <v/>
      </c>
      <c r="X64" s="17" t="str">
        <f aca="false">IF(OR($C64="",$AA64="Open"),"",IF($W64&gt;0,$V64/$W64,""))</f>
        <v/>
      </c>
      <c r="Y64" s="17" t="str">
        <f aca="false">IF(OR($C64="",$AA64="Open"),"",IF($W64&gt;0,$X64*365/MAX($Q64,1),""))</f>
        <v/>
      </c>
      <c r="Z64" s="18" t="str">
        <f aca="false">IF(OR($C64="",$AA64="Open"),"",IF($M64&lt;&gt;"",$M64,$G64))</f>
        <v/>
      </c>
      <c r="AA64" s="12" t="str">
        <f aca="false">IF($C64="","",IF(OR($L64="Open",$L64=""),"Open","Realized"))</f>
        <v/>
      </c>
    </row>
    <row r="65" customFormat="false" ht="15" hidden="false" customHeight="false" outlineLevel="0" collapsed="false">
      <c r="A65" s="7"/>
      <c r="B65" s="9"/>
      <c r="C65" s="32"/>
      <c r="D65" s="12" t="str">
        <f aca="false">IF($C65="","",IF(OR($C65="Long call",$C65="Covered call"),"Call","Put"))</f>
        <v/>
      </c>
      <c r="E65" s="12" t="str">
        <f aca="false">IF($C65="","",IF(OR($C65="Long call",$C65="Long put"),"Buy to open","Sell to open"))</f>
        <v/>
      </c>
      <c r="F65" s="13"/>
      <c r="G65" s="7"/>
      <c r="H65" s="14"/>
      <c r="I65" s="13"/>
      <c r="J65" s="13"/>
      <c r="K65" s="13"/>
      <c r="L65" s="32"/>
      <c r="M65" s="7"/>
      <c r="N65" s="13"/>
      <c r="O65" s="15" t="str">
        <f aca="false">IF($C65="","",IF($E65="Sell to open",1,-1)*$I65*$E$2*$H65)</f>
        <v/>
      </c>
      <c r="P65" s="15" t="str">
        <f aca="false">IF($C65="","",IF($C65="Long call",$F65+$I65,IF($C65="Covered call",$J65-$I65,$F65-$I65)))</f>
        <v/>
      </c>
      <c r="Q65" s="16" t="str">
        <f aca="false">IF($C65="","",IF($AA65="Open",$B$2,IF($M65&lt;&gt;"",$M65,$G65))-$A65)</f>
        <v/>
      </c>
      <c r="R65" s="16" t="str">
        <f aca="false">IF($C65="","",IF($AA65="Open",MAX($G65-$B$2,0),""))</f>
        <v/>
      </c>
      <c r="S65" s="15" t="str">
        <f aca="false">IF(OR($C65="",$AA65="Open"),"",IF($L65="Closed",-IF($E65="Sell to open",1,-1)*$N65*$E$2*$H65,0))</f>
        <v/>
      </c>
      <c r="T65" s="15" t="str">
        <f aca="false">IF(OR($C65="",$AA65="Open"),"",$O65+$S65-$K65)</f>
        <v/>
      </c>
      <c r="U65" s="15" t="str">
        <f aca="false">IF(OR($C65="",$AA65="Open"),"",IF(AND($C65="Covered call",$L65="Assigned"),($F65-$J65)*$E$2*$H65,0))</f>
        <v/>
      </c>
      <c r="V65" s="15" t="str">
        <f aca="false">IF(OR($C65="",$AA65="Open"),"",$T65+$U65)</f>
        <v/>
      </c>
      <c r="W65" s="15" t="str">
        <f aca="false">IF($C65="","",IF(OR($C65="Long call",$C65="Long put"),$I65*$E$2*$H65,(IF($C65="Covered call",$J65,$F65)-$I65)*$E$2*$H65))</f>
        <v/>
      </c>
      <c r="X65" s="17" t="str">
        <f aca="false">IF(OR($C65="",$AA65="Open"),"",IF($W65&gt;0,$V65/$W65,""))</f>
        <v/>
      </c>
      <c r="Y65" s="17" t="str">
        <f aca="false">IF(OR($C65="",$AA65="Open"),"",IF($W65&gt;0,$X65*365/MAX($Q65,1),""))</f>
        <v/>
      </c>
      <c r="Z65" s="18" t="str">
        <f aca="false">IF(OR($C65="",$AA65="Open"),"",IF($M65&lt;&gt;"",$M65,$G65))</f>
        <v/>
      </c>
      <c r="AA65" s="12" t="str">
        <f aca="false">IF($C65="","",IF(OR($L65="Open",$L65=""),"Open","Realized"))</f>
        <v/>
      </c>
    </row>
    <row r="66" customFormat="false" ht="15" hidden="false" customHeight="false" outlineLevel="0" collapsed="false">
      <c r="A66" s="7"/>
      <c r="B66" s="9"/>
      <c r="C66" s="32"/>
      <c r="D66" s="12" t="str">
        <f aca="false">IF($C66="","",IF(OR($C66="Long call",$C66="Covered call"),"Call","Put"))</f>
        <v/>
      </c>
      <c r="E66" s="12" t="str">
        <f aca="false">IF($C66="","",IF(OR($C66="Long call",$C66="Long put"),"Buy to open","Sell to open"))</f>
        <v/>
      </c>
      <c r="F66" s="13"/>
      <c r="G66" s="7"/>
      <c r="H66" s="14"/>
      <c r="I66" s="13"/>
      <c r="J66" s="13"/>
      <c r="K66" s="13"/>
      <c r="L66" s="32"/>
      <c r="M66" s="7"/>
      <c r="N66" s="13"/>
      <c r="O66" s="15" t="str">
        <f aca="false">IF($C66="","",IF($E66="Sell to open",1,-1)*$I66*$E$2*$H66)</f>
        <v/>
      </c>
      <c r="P66" s="15" t="str">
        <f aca="false">IF($C66="","",IF($C66="Long call",$F66+$I66,IF($C66="Covered call",$J66-$I66,$F66-$I66)))</f>
        <v/>
      </c>
      <c r="Q66" s="16" t="str">
        <f aca="false">IF($C66="","",IF($AA66="Open",$B$2,IF($M66&lt;&gt;"",$M66,$G66))-$A66)</f>
        <v/>
      </c>
      <c r="R66" s="16" t="str">
        <f aca="false">IF($C66="","",IF($AA66="Open",MAX($G66-$B$2,0),""))</f>
        <v/>
      </c>
      <c r="S66" s="15" t="str">
        <f aca="false">IF(OR($C66="",$AA66="Open"),"",IF($L66="Closed",-IF($E66="Sell to open",1,-1)*$N66*$E$2*$H66,0))</f>
        <v/>
      </c>
      <c r="T66" s="15" t="str">
        <f aca="false">IF(OR($C66="",$AA66="Open"),"",$O66+$S66-$K66)</f>
        <v/>
      </c>
      <c r="U66" s="15" t="str">
        <f aca="false">IF(OR($C66="",$AA66="Open"),"",IF(AND($C66="Covered call",$L66="Assigned"),($F66-$J66)*$E$2*$H66,0))</f>
        <v/>
      </c>
      <c r="V66" s="15" t="str">
        <f aca="false">IF(OR($C66="",$AA66="Open"),"",$T66+$U66)</f>
        <v/>
      </c>
      <c r="W66" s="15" t="str">
        <f aca="false">IF($C66="","",IF(OR($C66="Long call",$C66="Long put"),$I66*$E$2*$H66,(IF($C66="Covered call",$J66,$F66)-$I66)*$E$2*$H66))</f>
        <v/>
      </c>
      <c r="X66" s="17" t="str">
        <f aca="false">IF(OR($C66="",$AA66="Open"),"",IF($W66&gt;0,$V66/$W66,""))</f>
        <v/>
      </c>
      <c r="Y66" s="17" t="str">
        <f aca="false">IF(OR($C66="",$AA66="Open"),"",IF($W66&gt;0,$X66*365/MAX($Q66,1),""))</f>
        <v/>
      </c>
      <c r="Z66" s="18" t="str">
        <f aca="false">IF(OR($C66="",$AA66="Open"),"",IF($M66&lt;&gt;"",$M66,$G66))</f>
        <v/>
      </c>
      <c r="AA66" s="12" t="str">
        <f aca="false">IF($C66="","",IF(OR($L66="Open",$L66=""),"Open","Realized"))</f>
        <v/>
      </c>
    </row>
    <row r="67" customFormat="false" ht="15" hidden="false" customHeight="false" outlineLevel="0" collapsed="false">
      <c r="A67" s="7"/>
      <c r="B67" s="9"/>
      <c r="C67" s="32"/>
      <c r="D67" s="12" t="str">
        <f aca="false">IF($C67="","",IF(OR($C67="Long call",$C67="Covered call"),"Call","Put"))</f>
        <v/>
      </c>
      <c r="E67" s="12" t="str">
        <f aca="false">IF($C67="","",IF(OR($C67="Long call",$C67="Long put"),"Buy to open","Sell to open"))</f>
        <v/>
      </c>
      <c r="F67" s="13"/>
      <c r="G67" s="7"/>
      <c r="H67" s="14"/>
      <c r="I67" s="13"/>
      <c r="J67" s="13"/>
      <c r="K67" s="13"/>
      <c r="L67" s="32"/>
      <c r="M67" s="7"/>
      <c r="N67" s="13"/>
      <c r="O67" s="15" t="str">
        <f aca="false">IF($C67="","",IF($E67="Sell to open",1,-1)*$I67*$E$2*$H67)</f>
        <v/>
      </c>
      <c r="P67" s="15" t="str">
        <f aca="false">IF($C67="","",IF($C67="Long call",$F67+$I67,IF($C67="Covered call",$J67-$I67,$F67-$I67)))</f>
        <v/>
      </c>
      <c r="Q67" s="16" t="str">
        <f aca="false">IF($C67="","",IF($AA67="Open",$B$2,IF($M67&lt;&gt;"",$M67,$G67))-$A67)</f>
        <v/>
      </c>
      <c r="R67" s="16" t="str">
        <f aca="false">IF($C67="","",IF($AA67="Open",MAX($G67-$B$2,0),""))</f>
        <v/>
      </c>
      <c r="S67" s="15" t="str">
        <f aca="false">IF(OR($C67="",$AA67="Open"),"",IF($L67="Closed",-IF($E67="Sell to open",1,-1)*$N67*$E$2*$H67,0))</f>
        <v/>
      </c>
      <c r="T67" s="15" t="str">
        <f aca="false">IF(OR($C67="",$AA67="Open"),"",$O67+$S67-$K67)</f>
        <v/>
      </c>
      <c r="U67" s="15" t="str">
        <f aca="false">IF(OR($C67="",$AA67="Open"),"",IF(AND($C67="Covered call",$L67="Assigned"),($F67-$J67)*$E$2*$H67,0))</f>
        <v/>
      </c>
      <c r="V67" s="15" t="str">
        <f aca="false">IF(OR($C67="",$AA67="Open"),"",$T67+$U67)</f>
        <v/>
      </c>
      <c r="W67" s="15" t="str">
        <f aca="false">IF($C67="","",IF(OR($C67="Long call",$C67="Long put"),$I67*$E$2*$H67,(IF($C67="Covered call",$J67,$F67)-$I67)*$E$2*$H67))</f>
        <v/>
      </c>
      <c r="X67" s="17" t="str">
        <f aca="false">IF(OR($C67="",$AA67="Open"),"",IF($W67&gt;0,$V67/$W67,""))</f>
        <v/>
      </c>
      <c r="Y67" s="17" t="str">
        <f aca="false">IF(OR($C67="",$AA67="Open"),"",IF($W67&gt;0,$X67*365/MAX($Q67,1),""))</f>
        <v/>
      </c>
      <c r="Z67" s="18" t="str">
        <f aca="false">IF(OR($C67="",$AA67="Open"),"",IF($M67&lt;&gt;"",$M67,$G67))</f>
        <v/>
      </c>
      <c r="AA67" s="12" t="str">
        <f aca="false">IF($C67="","",IF(OR($L67="Open",$L67=""),"Open","Realized"))</f>
        <v/>
      </c>
    </row>
    <row r="68" customFormat="false" ht="15" hidden="false" customHeight="false" outlineLevel="0" collapsed="false">
      <c r="A68" s="7"/>
      <c r="B68" s="9"/>
      <c r="C68" s="32"/>
      <c r="D68" s="12" t="str">
        <f aca="false">IF($C68="","",IF(OR($C68="Long call",$C68="Covered call"),"Call","Put"))</f>
        <v/>
      </c>
      <c r="E68" s="12" t="str">
        <f aca="false">IF($C68="","",IF(OR($C68="Long call",$C68="Long put"),"Buy to open","Sell to open"))</f>
        <v/>
      </c>
      <c r="F68" s="13"/>
      <c r="G68" s="7"/>
      <c r="H68" s="14"/>
      <c r="I68" s="13"/>
      <c r="J68" s="13"/>
      <c r="K68" s="13"/>
      <c r="L68" s="32"/>
      <c r="M68" s="7"/>
      <c r="N68" s="13"/>
      <c r="O68" s="15" t="str">
        <f aca="false">IF($C68="","",IF($E68="Sell to open",1,-1)*$I68*$E$2*$H68)</f>
        <v/>
      </c>
      <c r="P68" s="15" t="str">
        <f aca="false">IF($C68="","",IF($C68="Long call",$F68+$I68,IF($C68="Covered call",$J68-$I68,$F68-$I68)))</f>
        <v/>
      </c>
      <c r="Q68" s="16" t="str">
        <f aca="false">IF($C68="","",IF($AA68="Open",$B$2,IF($M68&lt;&gt;"",$M68,$G68))-$A68)</f>
        <v/>
      </c>
      <c r="R68" s="16" t="str">
        <f aca="false">IF($C68="","",IF($AA68="Open",MAX($G68-$B$2,0),""))</f>
        <v/>
      </c>
      <c r="S68" s="15" t="str">
        <f aca="false">IF(OR($C68="",$AA68="Open"),"",IF($L68="Closed",-IF($E68="Sell to open",1,-1)*$N68*$E$2*$H68,0))</f>
        <v/>
      </c>
      <c r="T68" s="15" t="str">
        <f aca="false">IF(OR($C68="",$AA68="Open"),"",$O68+$S68-$K68)</f>
        <v/>
      </c>
      <c r="U68" s="15" t="str">
        <f aca="false">IF(OR($C68="",$AA68="Open"),"",IF(AND($C68="Covered call",$L68="Assigned"),($F68-$J68)*$E$2*$H68,0))</f>
        <v/>
      </c>
      <c r="V68" s="15" t="str">
        <f aca="false">IF(OR($C68="",$AA68="Open"),"",$T68+$U68)</f>
        <v/>
      </c>
      <c r="W68" s="15" t="str">
        <f aca="false">IF($C68="","",IF(OR($C68="Long call",$C68="Long put"),$I68*$E$2*$H68,(IF($C68="Covered call",$J68,$F68)-$I68)*$E$2*$H68))</f>
        <v/>
      </c>
      <c r="X68" s="17" t="str">
        <f aca="false">IF(OR($C68="",$AA68="Open"),"",IF($W68&gt;0,$V68/$W68,""))</f>
        <v/>
      </c>
      <c r="Y68" s="17" t="str">
        <f aca="false">IF(OR($C68="",$AA68="Open"),"",IF($W68&gt;0,$X68*365/MAX($Q68,1),""))</f>
        <v/>
      </c>
      <c r="Z68" s="18" t="str">
        <f aca="false">IF(OR($C68="",$AA68="Open"),"",IF($M68&lt;&gt;"",$M68,$G68))</f>
        <v/>
      </c>
      <c r="AA68" s="12" t="str">
        <f aca="false">IF($C68="","",IF(OR($L68="Open",$L68=""),"Open","Realized"))</f>
        <v/>
      </c>
    </row>
    <row r="69" customFormat="false" ht="15" hidden="false" customHeight="false" outlineLevel="0" collapsed="false">
      <c r="A69" s="7"/>
      <c r="B69" s="9"/>
      <c r="C69" s="32"/>
      <c r="D69" s="12" t="str">
        <f aca="false">IF($C69="","",IF(OR($C69="Long call",$C69="Covered call"),"Call","Put"))</f>
        <v/>
      </c>
      <c r="E69" s="12" t="str">
        <f aca="false">IF($C69="","",IF(OR($C69="Long call",$C69="Long put"),"Buy to open","Sell to open"))</f>
        <v/>
      </c>
      <c r="F69" s="13"/>
      <c r="G69" s="7"/>
      <c r="H69" s="14"/>
      <c r="I69" s="13"/>
      <c r="J69" s="13"/>
      <c r="K69" s="13"/>
      <c r="L69" s="32"/>
      <c r="M69" s="7"/>
      <c r="N69" s="13"/>
      <c r="O69" s="15" t="str">
        <f aca="false">IF($C69="","",IF($E69="Sell to open",1,-1)*$I69*$E$2*$H69)</f>
        <v/>
      </c>
      <c r="P69" s="15" t="str">
        <f aca="false">IF($C69="","",IF($C69="Long call",$F69+$I69,IF($C69="Covered call",$J69-$I69,$F69-$I69)))</f>
        <v/>
      </c>
      <c r="Q69" s="16" t="str">
        <f aca="false">IF($C69="","",IF($AA69="Open",$B$2,IF($M69&lt;&gt;"",$M69,$G69))-$A69)</f>
        <v/>
      </c>
      <c r="R69" s="16" t="str">
        <f aca="false">IF($C69="","",IF($AA69="Open",MAX($G69-$B$2,0),""))</f>
        <v/>
      </c>
      <c r="S69" s="15" t="str">
        <f aca="false">IF(OR($C69="",$AA69="Open"),"",IF($L69="Closed",-IF($E69="Sell to open",1,-1)*$N69*$E$2*$H69,0))</f>
        <v/>
      </c>
      <c r="T69" s="15" t="str">
        <f aca="false">IF(OR($C69="",$AA69="Open"),"",$O69+$S69-$K69)</f>
        <v/>
      </c>
      <c r="U69" s="15" t="str">
        <f aca="false">IF(OR($C69="",$AA69="Open"),"",IF(AND($C69="Covered call",$L69="Assigned"),($F69-$J69)*$E$2*$H69,0))</f>
        <v/>
      </c>
      <c r="V69" s="15" t="str">
        <f aca="false">IF(OR($C69="",$AA69="Open"),"",$T69+$U69)</f>
        <v/>
      </c>
      <c r="W69" s="15" t="str">
        <f aca="false">IF($C69="","",IF(OR($C69="Long call",$C69="Long put"),$I69*$E$2*$H69,(IF($C69="Covered call",$J69,$F69)-$I69)*$E$2*$H69))</f>
        <v/>
      </c>
      <c r="X69" s="17" t="str">
        <f aca="false">IF(OR($C69="",$AA69="Open"),"",IF($W69&gt;0,$V69/$W69,""))</f>
        <v/>
      </c>
      <c r="Y69" s="17" t="str">
        <f aca="false">IF(OR($C69="",$AA69="Open"),"",IF($W69&gt;0,$X69*365/MAX($Q69,1),""))</f>
        <v/>
      </c>
      <c r="Z69" s="18" t="str">
        <f aca="false">IF(OR($C69="",$AA69="Open"),"",IF($M69&lt;&gt;"",$M69,$G69))</f>
        <v/>
      </c>
      <c r="AA69" s="12" t="str">
        <f aca="false">IF($C69="","",IF(OR($L69="Open",$L69=""),"Open","Realized"))</f>
        <v/>
      </c>
    </row>
    <row r="70" customFormat="false" ht="15" hidden="false" customHeight="false" outlineLevel="0" collapsed="false">
      <c r="A70" s="7"/>
      <c r="B70" s="9"/>
      <c r="C70" s="32"/>
      <c r="D70" s="12" t="str">
        <f aca="false">IF($C70="","",IF(OR($C70="Long call",$C70="Covered call"),"Call","Put"))</f>
        <v/>
      </c>
      <c r="E70" s="12" t="str">
        <f aca="false">IF($C70="","",IF(OR($C70="Long call",$C70="Long put"),"Buy to open","Sell to open"))</f>
        <v/>
      </c>
      <c r="F70" s="13"/>
      <c r="G70" s="7"/>
      <c r="H70" s="14"/>
      <c r="I70" s="13"/>
      <c r="J70" s="13"/>
      <c r="K70" s="13"/>
      <c r="L70" s="32"/>
      <c r="M70" s="7"/>
      <c r="N70" s="13"/>
      <c r="O70" s="15" t="str">
        <f aca="false">IF($C70="","",IF($E70="Sell to open",1,-1)*$I70*$E$2*$H70)</f>
        <v/>
      </c>
      <c r="P70" s="15" t="str">
        <f aca="false">IF($C70="","",IF($C70="Long call",$F70+$I70,IF($C70="Covered call",$J70-$I70,$F70-$I70)))</f>
        <v/>
      </c>
      <c r="Q70" s="16" t="str">
        <f aca="false">IF($C70="","",IF($AA70="Open",$B$2,IF($M70&lt;&gt;"",$M70,$G70))-$A70)</f>
        <v/>
      </c>
      <c r="R70" s="16" t="str">
        <f aca="false">IF($C70="","",IF($AA70="Open",MAX($G70-$B$2,0),""))</f>
        <v/>
      </c>
      <c r="S70" s="15" t="str">
        <f aca="false">IF(OR($C70="",$AA70="Open"),"",IF($L70="Closed",-IF($E70="Sell to open",1,-1)*$N70*$E$2*$H70,0))</f>
        <v/>
      </c>
      <c r="T70" s="15" t="str">
        <f aca="false">IF(OR($C70="",$AA70="Open"),"",$O70+$S70-$K70)</f>
        <v/>
      </c>
      <c r="U70" s="15" t="str">
        <f aca="false">IF(OR($C70="",$AA70="Open"),"",IF(AND($C70="Covered call",$L70="Assigned"),($F70-$J70)*$E$2*$H70,0))</f>
        <v/>
      </c>
      <c r="V70" s="15" t="str">
        <f aca="false">IF(OR($C70="",$AA70="Open"),"",$T70+$U70)</f>
        <v/>
      </c>
      <c r="W70" s="15" t="str">
        <f aca="false">IF($C70="","",IF(OR($C70="Long call",$C70="Long put"),$I70*$E$2*$H70,(IF($C70="Covered call",$J70,$F70)-$I70)*$E$2*$H70))</f>
        <v/>
      </c>
      <c r="X70" s="17" t="str">
        <f aca="false">IF(OR($C70="",$AA70="Open"),"",IF($W70&gt;0,$V70/$W70,""))</f>
        <v/>
      </c>
      <c r="Y70" s="17" t="str">
        <f aca="false">IF(OR($C70="",$AA70="Open"),"",IF($W70&gt;0,$X70*365/MAX($Q70,1),""))</f>
        <v/>
      </c>
      <c r="Z70" s="18" t="str">
        <f aca="false">IF(OR($C70="",$AA70="Open"),"",IF($M70&lt;&gt;"",$M70,$G70))</f>
        <v/>
      </c>
      <c r="AA70" s="12" t="str">
        <f aca="false">IF($C70="","",IF(OR($L70="Open",$L70=""),"Open","Realized"))</f>
        <v/>
      </c>
    </row>
    <row r="71" customFormat="false" ht="15" hidden="false" customHeight="false" outlineLevel="0" collapsed="false">
      <c r="A71" s="7"/>
      <c r="B71" s="9"/>
      <c r="C71" s="32"/>
      <c r="D71" s="12" t="str">
        <f aca="false">IF($C71="","",IF(OR($C71="Long call",$C71="Covered call"),"Call","Put"))</f>
        <v/>
      </c>
      <c r="E71" s="12" t="str">
        <f aca="false">IF($C71="","",IF(OR($C71="Long call",$C71="Long put"),"Buy to open","Sell to open"))</f>
        <v/>
      </c>
      <c r="F71" s="13"/>
      <c r="G71" s="7"/>
      <c r="H71" s="14"/>
      <c r="I71" s="13"/>
      <c r="J71" s="13"/>
      <c r="K71" s="13"/>
      <c r="L71" s="32"/>
      <c r="M71" s="7"/>
      <c r="N71" s="13"/>
      <c r="O71" s="15" t="str">
        <f aca="false">IF($C71="","",IF($E71="Sell to open",1,-1)*$I71*$E$2*$H71)</f>
        <v/>
      </c>
      <c r="P71" s="15" t="str">
        <f aca="false">IF($C71="","",IF($C71="Long call",$F71+$I71,IF($C71="Covered call",$J71-$I71,$F71-$I71)))</f>
        <v/>
      </c>
      <c r="Q71" s="16" t="str">
        <f aca="false">IF($C71="","",IF($AA71="Open",$B$2,IF($M71&lt;&gt;"",$M71,$G71))-$A71)</f>
        <v/>
      </c>
      <c r="R71" s="16" t="str">
        <f aca="false">IF($C71="","",IF($AA71="Open",MAX($G71-$B$2,0),""))</f>
        <v/>
      </c>
      <c r="S71" s="15" t="str">
        <f aca="false">IF(OR($C71="",$AA71="Open"),"",IF($L71="Closed",-IF($E71="Sell to open",1,-1)*$N71*$E$2*$H71,0))</f>
        <v/>
      </c>
      <c r="T71" s="15" t="str">
        <f aca="false">IF(OR($C71="",$AA71="Open"),"",$O71+$S71-$K71)</f>
        <v/>
      </c>
      <c r="U71" s="15" t="str">
        <f aca="false">IF(OR($C71="",$AA71="Open"),"",IF(AND($C71="Covered call",$L71="Assigned"),($F71-$J71)*$E$2*$H71,0))</f>
        <v/>
      </c>
      <c r="V71" s="15" t="str">
        <f aca="false">IF(OR($C71="",$AA71="Open"),"",$T71+$U71)</f>
        <v/>
      </c>
      <c r="W71" s="15" t="str">
        <f aca="false">IF($C71="","",IF(OR($C71="Long call",$C71="Long put"),$I71*$E$2*$H71,(IF($C71="Covered call",$J71,$F71)-$I71)*$E$2*$H71))</f>
        <v/>
      </c>
      <c r="X71" s="17" t="str">
        <f aca="false">IF(OR($C71="",$AA71="Open"),"",IF($W71&gt;0,$V71/$W71,""))</f>
        <v/>
      </c>
      <c r="Y71" s="17" t="str">
        <f aca="false">IF(OR($C71="",$AA71="Open"),"",IF($W71&gt;0,$X71*365/MAX($Q71,1),""))</f>
        <v/>
      </c>
      <c r="Z71" s="18" t="str">
        <f aca="false">IF(OR($C71="",$AA71="Open"),"",IF($M71&lt;&gt;"",$M71,$G71))</f>
        <v/>
      </c>
      <c r="AA71" s="12" t="str">
        <f aca="false">IF($C71="","",IF(OR($L71="Open",$L71=""),"Open","Realized"))</f>
        <v/>
      </c>
    </row>
    <row r="72" customFormat="false" ht="15" hidden="false" customHeight="false" outlineLevel="0" collapsed="false">
      <c r="A72" s="7"/>
      <c r="B72" s="9"/>
      <c r="C72" s="32"/>
      <c r="D72" s="12" t="str">
        <f aca="false">IF($C72="","",IF(OR($C72="Long call",$C72="Covered call"),"Call","Put"))</f>
        <v/>
      </c>
      <c r="E72" s="12" t="str">
        <f aca="false">IF($C72="","",IF(OR($C72="Long call",$C72="Long put"),"Buy to open","Sell to open"))</f>
        <v/>
      </c>
      <c r="F72" s="13"/>
      <c r="G72" s="7"/>
      <c r="H72" s="14"/>
      <c r="I72" s="13"/>
      <c r="J72" s="13"/>
      <c r="K72" s="13"/>
      <c r="L72" s="32"/>
      <c r="M72" s="7"/>
      <c r="N72" s="13"/>
      <c r="O72" s="15" t="str">
        <f aca="false">IF($C72="","",IF($E72="Sell to open",1,-1)*$I72*$E$2*$H72)</f>
        <v/>
      </c>
      <c r="P72" s="15" t="str">
        <f aca="false">IF($C72="","",IF($C72="Long call",$F72+$I72,IF($C72="Covered call",$J72-$I72,$F72-$I72)))</f>
        <v/>
      </c>
      <c r="Q72" s="16" t="str">
        <f aca="false">IF($C72="","",IF($AA72="Open",$B$2,IF($M72&lt;&gt;"",$M72,$G72))-$A72)</f>
        <v/>
      </c>
      <c r="R72" s="16" t="str">
        <f aca="false">IF($C72="","",IF($AA72="Open",MAX($G72-$B$2,0),""))</f>
        <v/>
      </c>
      <c r="S72" s="15" t="str">
        <f aca="false">IF(OR($C72="",$AA72="Open"),"",IF($L72="Closed",-IF($E72="Sell to open",1,-1)*$N72*$E$2*$H72,0))</f>
        <v/>
      </c>
      <c r="T72" s="15" t="str">
        <f aca="false">IF(OR($C72="",$AA72="Open"),"",$O72+$S72-$K72)</f>
        <v/>
      </c>
      <c r="U72" s="15" t="str">
        <f aca="false">IF(OR($C72="",$AA72="Open"),"",IF(AND($C72="Covered call",$L72="Assigned"),($F72-$J72)*$E$2*$H72,0))</f>
        <v/>
      </c>
      <c r="V72" s="15" t="str">
        <f aca="false">IF(OR($C72="",$AA72="Open"),"",$T72+$U72)</f>
        <v/>
      </c>
      <c r="W72" s="15" t="str">
        <f aca="false">IF($C72="","",IF(OR($C72="Long call",$C72="Long put"),$I72*$E$2*$H72,(IF($C72="Covered call",$J72,$F72)-$I72)*$E$2*$H72))</f>
        <v/>
      </c>
      <c r="X72" s="17" t="str">
        <f aca="false">IF(OR($C72="",$AA72="Open"),"",IF($W72&gt;0,$V72/$W72,""))</f>
        <v/>
      </c>
      <c r="Y72" s="17" t="str">
        <f aca="false">IF(OR($C72="",$AA72="Open"),"",IF($W72&gt;0,$X72*365/MAX($Q72,1),""))</f>
        <v/>
      </c>
      <c r="Z72" s="18" t="str">
        <f aca="false">IF(OR($C72="",$AA72="Open"),"",IF($M72&lt;&gt;"",$M72,$G72))</f>
        <v/>
      </c>
      <c r="AA72" s="12" t="str">
        <f aca="false">IF($C72="","",IF(OR($L72="Open",$L72=""),"Open","Realized"))</f>
        <v/>
      </c>
    </row>
    <row r="73" customFormat="false" ht="15" hidden="false" customHeight="false" outlineLevel="0" collapsed="false">
      <c r="A73" s="7"/>
      <c r="B73" s="9"/>
      <c r="C73" s="32"/>
      <c r="D73" s="12" t="str">
        <f aca="false">IF($C73="","",IF(OR($C73="Long call",$C73="Covered call"),"Call","Put"))</f>
        <v/>
      </c>
      <c r="E73" s="12" t="str">
        <f aca="false">IF($C73="","",IF(OR($C73="Long call",$C73="Long put"),"Buy to open","Sell to open"))</f>
        <v/>
      </c>
      <c r="F73" s="13"/>
      <c r="G73" s="7"/>
      <c r="H73" s="14"/>
      <c r="I73" s="13"/>
      <c r="J73" s="13"/>
      <c r="K73" s="13"/>
      <c r="L73" s="32"/>
      <c r="M73" s="7"/>
      <c r="N73" s="13"/>
      <c r="O73" s="15" t="str">
        <f aca="false">IF($C73="","",IF($E73="Sell to open",1,-1)*$I73*$E$2*$H73)</f>
        <v/>
      </c>
      <c r="P73" s="15" t="str">
        <f aca="false">IF($C73="","",IF($C73="Long call",$F73+$I73,IF($C73="Covered call",$J73-$I73,$F73-$I73)))</f>
        <v/>
      </c>
      <c r="Q73" s="16" t="str">
        <f aca="false">IF($C73="","",IF($AA73="Open",$B$2,IF($M73&lt;&gt;"",$M73,$G73))-$A73)</f>
        <v/>
      </c>
      <c r="R73" s="16" t="str">
        <f aca="false">IF($C73="","",IF($AA73="Open",MAX($G73-$B$2,0),""))</f>
        <v/>
      </c>
      <c r="S73" s="15" t="str">
        <f aca="false">IF(OR($C73="",$AA73="Open"),"",IF($L73="Closed",-IF($E73="Sell to open",1,-1)*$N73*$E$2*$H73,0))</f>
        <v/>
      </c>
      <c r="T73" s="15" t="str">
        <f aca="false">IF(OR($C73="",$AA73="Open"),"",$O73+$S73-$K73)</f>
        <v/>
      </c>
      <c r="U73" s="15" t="str">
        <f aca="false">IF(OR($C73="",$AA73="Open"),"",IF(AND($C73="Covered call",$L73="Assigned"),($F73-$J73)*$E$2*$H73,0))</f>
        <v/>
      </c>
      <c r="V73" s="15" t="str">
        <f aca="false">IF(OR($C73="",$AA73="Open"),"",$T73+$U73)</f>
        <v/>
      </c>
      <c r="W73" s="15" t="str">
        <f aca="false">IF($C73="","",IF(OR($C73="Long call",$C73="Long put"),$I73*$E$2*$H73,(IF($C73="Covered call",$J73,$F73)-$I73)*$E$2*$H73))</f>
        <v/>
      </c>
      <c r="X73" s="17" t="str">
        <f aca="false">IF(OR($C73="",$AA73="Open"),"",IF($W73&gt;0,$V73/$W73,""))</f>
        <v/>
      </c>
      <c r="Y73" s="17" t="str">
        <f aca="false">IF(OR($C73="",$AA73="Open"),"",IF($W73&gt;0,$X73*365/MAX($Q73,1),""))</f>
        <v/>
      </c>
      <c r="Z73" s="18" t="str">
        <f aca="false">IF(OR($C73="",$AA73="Open"),"",IF($M73&lt;&gt;"",$M73,$G73))</f>
        <v/>
      </c>
      <c r="AA73" s="12" t="str">
        <f aca="false">IF($C73="","",IF(OR($L73="Open",$L73=""),"Open","Realized"))</f>
        <v/>
      </c>
    </row>
    <row r="74" customFormat="false" ht="15" hidden="false" customHeight="false" outlineLevel="0" collapsed="false">
      <c r="A74" s="7"/>
      <c r="B74" s="9"/>
      <c r="C74" s="32"/>
      <c r="D74" s="12" t="str">
        <f aca="false">IF($C74="","",IF(OR($C74="Long call",$C74="Covered call"),"Call","Put"))</f>
        <v/>
      </c>
      <c r="E74" s="12" t="str">
        <f aca="false">IF($C74="","",IF(OR($C74="Long call",$C74="Long put"),"Buy to open","Sell to open"))</f>
        <v/>
      </c>
      <c r="F74" s="13"/>
      <c r="G74" s="7"/>
      <c r="H74" s="14"/>
      <c r="I74" s="13"/>
      <c r="J74" s="13"/>
      <c r="K74" s="13"/>
      <c r="L74" s="32"/>
      <c r="M74" s="7"/>
      <c r="N74" s="13"/>
      <c r="O74" s="15" t="str">
        <f aca="false">IF($C74="","",IF($E74="Sell to open",1,-1)*$I74*$E$2*$H74)</f>
        <v/>
      </c>
      <c r="P74" s="15" t="str">
        <f aca="false">IF($C74="","",IF($C74="Long call",$F74+$I74,IF($C74="Covered call",$J74-$I74,$F74-$I74)))</f>
        <v/>
      </c>
      <c r="Q74" s="16" t="str">
        <f aca="false">IF($C74="","",IF($AA74="Open",$B$2,IF($M74&lt;&gt;"",$M74,$G74))-$A74)</f>
        <v/>
      </c>
      <c r="R74" s="16" t="str">
        <f aca="false">IF($C74="","",IF($AA74="Open",MAX($G74-$B$2,0),""))</f>
        <v/>
      </c>
      <c r="S74" s="15" t="str">
        <f aca="false">IF(OR($C74="",$AA74="Open"),"",IF($L74="Closed",-IF($E74="Sell to open",1,-1)*$N74*$E$2*$H74,0))</f>
        <v/>
      </c>
      <c r="T74" s="15" t="str">
        <f aca="false">IF(OR($C74="",$AA74="Open"),"",$O74+$S74-$K74)</f>
        <v/>
      </c>
      <c r="U74" s="15" t="str">
        <f aca="false">IF(OR($C74="",$AA74="Open"),"",IF(AND($C74="Covered call",$L74="Assigned"),($F74-$J74)*$E$2*$H74,0))</f>
        <v/>
      </c>
      <c r="V74" s="15" t="str">
        <f aca="false">IF(OR($C74="",$AA74="Open"),"",$T74+$U74)</f>
        <v/>
      </c>
      <c r="W74" s="15" t="str">
        <f aca="false">IF($C74="","",IF(OR($C74="Long call",$C74="Long put"),$I74*$E$2*$H74,(IF($C74="Covered call",$J74,$F74)-$I74)*$E$2*$H74))</f>
        <v/>
      </c>
      <c r="X74" s="17" t="str">
        <f aca="false">IF(OR($C74="",$AA74="Open"),"",IF($W74&gt;0,$V74/$W74,""))</f>
        <v/>
      </c>
      <c r="Y74" s="17" t="str">
        <f aca="false">IF(OR($C74="",$AA74="Open"),"",IF($W74&gt;0,$X74*365/MAX($Q74,1),""))</f>
        <v/>
      </c>
      <c r="Z74" s="18" t="str">
        <f aca="false">IF(OR($C74="",$AA74="Open"),"",IF($M74&lt;&gt;"",$M74,$G74))</f>
        <v/>
      </c>
      <c r="AA74" s="12" t="str">
        <f aca="false">IF($C74="","",IF(OR($L74="Open",$L74=""),"Open","Realized"))</f>
        <v/>
      </c>
    </row>
    <row r="75" customFormat="false" ht="15" hidden="false" customHeight="false" outlineLevel="0" collapsed="false">
      <c r="A75" s="7"/>
      <c r="B75" s="9"/>
      <c r="C75" s="32"/>
      <c r="D75" s="12" t="str">
        <f aca="false">IF($C75="","",IF(OR($C75="Long call",$C75="Covered call"),"Call","Put"))</f>
        <v/>
      </c>
      <c r="E75" s="12" t="str">
        <f aca="false">IF($C75="","",IF(OR($C75="Long call",$C75="Long put"),"Buy to open","Sell to open"))</f>
        <v/>
      </c>
      <c r="F75" s="13"/>
      <c r="G75" s="7"/>
      <c r="H75" s="14"/>
      <c r="I75" s="13"/>
      <c r="J75" s="13"/>
      <c r="K75" s="13"/>
      <c r="L75" s="32"/>
      <c r="M75" s="7"/>
      <c r="N75" s="13"/>
      <c r="O75" s="15" t="str">
        <f aca="false">IF($C75="","",IF($E75="Sell to open",1,-1)*$I75*$E$2*$H75)</f>
        <v/>
      </c>
      <c r="P75" s="15" t="str">
        <f aca="false">IF($C75="","",IF($C75="Long call",$F75+$I75,IF($C75="Covered call",$J75-$I75,$F75-$I75)))</f>
        <v/>
      </c>
      <c r="Q75" s="16" t="str">
        <f aca="false">IF($C75="","",IF($AA75="Open",$B$2,IF($M75&lt;&gt;"",$M75,$G75))-$A75)</f>
        <v/>
      </c>
      <c r="R75" s="16" t="str">
        <f aca="false">IF($C75="","",IF($AA75="Open",MAX($G75-$B$2,0),""))</f>
        <v/>
      </c>
      <c r="S75" s="15" t="str">
        <f aca="false">IF(OR($C75="",$AA75="Open"),"",IF($L75="Closed",-IF($E75="Sell to open",1,-1)*$N75*$E$2*$H75,0))</f>
        <v/>
      </c>
      <c r="T75" s="15" t="str">
        <f aca="false">IF(OR($C75="",$AA75="Open"),"",$O75+$S75-$K75)</f>
        <v/>
      </c>
      <c r="U75" s="15" t="str">
        <f aca="false">IF(OR($C75="",$AA75="Open"),"",IF(AND($C75="Covered call",$L75="Assigned"),($F75-$J75)*$E$2*$H75,0))</f>
        <v/>
      </c>
      <c r="V75" s="15" t="str">
        <f aca="false">IF(OR($C75="",$AA75="Open"),"",$T75+$U75)</f>
        <v/>
      </c>
      <c r="W75" s="15" t="str">
        <f aca="false">IF($C75="","",IF(OR($C75="Long call",$C75="Long put"),$I75*$E$2*$H75,(IF($C75="Covered call",$J75,$F75)-$I75)*$E$2*$H75))</f>
        <v/>
      </c>
      <c r="X75" s="17" t="str">
        <f aca="false">IF(OR($C75="",$AA75="Open"),"",IF($W75&gt;0,$V75/$W75,""))</f>
        <v/>
      </c>
      <c r="Y75" s="17" t="str">
        <f aca="false">IF(OR($C75="",$AA75="Open"),"",IF($W75&gt;0,$X75*365/MAX($Q75,1),""))</f>
        <v/>
      </c>
      <c r="Z75" s="18" t="str">
        <f aca="false">IF(OR($C75="",$AA75="Open"),"",IF($M75&lt;&gt;"",$M75,$G75))</f>
        <v/>
      </c>
      <c r="AA75" s="12" t="str">
        <f aca="false">IF($C75="","",IF(OR($L75="Open",$L75=""),"Open","Realized"))</f>
        <v/>
      </c>
    </row>
    <row r="76" customFormat="false" ht="15" hidden="false" customHeight="false" outlineLevel="0" collapsed="false">
      <c r="A76" s="7"/>
      <c r="B76" s="9"/>
      <c r="C76" s="32"/>
      <c r="D76" s="12" t="str">
        <f aca="false">IF($C76="","",IF(OR($C76="Long call",$C76="Covered call"),"Call","Put"))</f>
        <v/>
      </c>
      <c r="E76" s="12" t="str">
        <f aca="false">IF($C76="","",IF(OR($C76="Long call",$C76="Long put"),"Buy to open","Sell to open"))</f>
        <v/>
      </c>
      <c r="F76" s="13"/>
      <c r="G76" s="7"/>
      <c r="H76" s="14"/>
      <c r="I76" s="13"/>
      <c r="J76" s="13"/>
      <c r="K76" s="13"/>
      <c r="L76" s="32"/>
      <c r="M76" s="7"/>
      <c r="N76" s="13"/>
      <c r="O76" s="15" t="str">
        <f aca="false">IF($C76="","",IF($E76="Sell to open",1,-1)*$I76*$E$2*$H76)</f>
        <v/>
      </c>
      <c r="P76" s="15" t="str">
        <f aca="false">IF($C76="","",IF($C76="Long call",$F76+$I76,IF($C76="Covered call",$J76-$I76,$F76-$I76)))</f>
        <v/>
      </c>
      <c r="Q76" s="16" t="str">
        <f aca="false">IF($C76="","",IF($AA76="Open",$B$2,IF($M76&lt;&gt;"",$M76,$G76))-$A76)</f>
        <v/>
      </c>
      <c r="R76" s="16" t="str">
        <f aca="false">IF($C76="","",IF($AA76="Open",MAX($G76-$B$2,0),""))</f>
        <v/>
      </c>
      <c r="S76" s="15" t="str">
        <f aca="false">IF(OR($C76="",$AA76="Open"),"",IF($L76="Closed",-IF($E76="Sell to open",1,-1)*$N76*$E$2*$H76,0))</f>
        <v/>
      </c>
      <c r="T76" s="15" t="str">
        <f aca="false">IF(OR($C76="",$AA76="Open"),"",$O76+$S76-$K76)</f>
        <v/>
      </c>
      <c r="U76" s="15" t="str">
        <f aca="false">IF(OR($C76="",$AA76="Open"),"",IF(AND($C76="Covered call",$L76="Assigned"),($F76-$J76)*$E$2*$H76,0))</f>
        <v/>
      </c>
      <c r="V76" s="15" t="str">
        <f aca="false">IF(OR($C76="",$AA76="Open"),"",$T76+$U76)</f>
        <v/>
      </c>
      <c r="W76" s="15" t="str">
        <f aca="false">IF($C76="","",IF(OR($C76="Long call",$C76="Long put"),$I76*$E$2*$H76,(IF($C76="Covered call",$J76,$F76)-$I76)*$E$2*$H76))</f>
        <v/>
      </c>
      <c r="X76" s="17" t="str">
        <f aca="false">IF(OR($C76="",$AA76="Open"),"",IF($W76&gt;0,$V76/$W76,""))</f>
        <v/>
      </c>
      <c r="Y76" s="17" t="str">
        <f aca="false">IF(OR($C76="",$AA76="Open"),"",IF($W76&gt;0,$X76*365/MAX($Q76,1),""))</f>
        <v/>
      </c>
      <c r="Z76" s="18" t="str">
        <f aca="false">IF(OR($C76="",$AA76="Open"),"",IF($M76&lt;&gt;"",$M76,$G76))</f>
        <v/>
      </c>
      <c r="AA76" s="12" t="str">
        <f aca="false">IF($C76="","",IF(OR($L76="Open",$L76=""),"Open","Realized"))</f>
        <v/>
      </c>
    </row>
    <row r="77" customFormat="false" ht="15" hidden="false" customHeight="false" outlineLevel="0" collapsed="false">
      <c r="A77" s="7"/>
      <c r="B77" s="9"/>
      <c r="C77" s="32"/>
      <c r="D77" s="12" t="str">
        <f aca="false">IF($C77="","",IF(OR($C77="Long call",$C77="Covered call"),"Call","Put"))</f>
        <v/>
      </c>
      <c r="E77" s="12" t="str">
        <f aca="false">IF($C77="","",IF(OR($C77="Long call",$C77="Long put"),"Buy to open","Sell to open"))</f>
        <v/>
      </c>
      <c r="F77" s="13"/>
      <c r="G77" s="7"/>
      <c r="H77" s="14"/>
      <c r="I77" s="13"/>
      <c r="J77" s="13"/>
      <c r="K77" s="13"/>
      <c r="L77" s="32"/>
      <c r="M77" s="7"/>
      <c r="N77" s="13"/>
      <c r="O77" s="15" t="str">
        <f aca="false">IF($C77="","",IF($E77="Sell to open",1,-1)*$I77*$E$2*$H77)</f>
        <v/>
      </c>
      <c r="P77" s="15" t="str">
        <f aca="false">IF($C77="","",IF($C77="Long call",$F77+$I77,IF($C77="Covered call",$J77-$I77,$F77-$I77)))</f>
        <v/>
      </c>
      <c r="Q77" s="16" t="str">
        <f aca="false">IF($C77="","",IF($AA77="Open",$B$2,IF($M77&lt;&gt;"",$M77,$G77))-$A77)</f>
        <v/>
      </c>
      <c r="R77" s="16" t="str">
        <f aca="false">IF($C77="","",IF($AA77="Open",MAX($G77-$B$2,0),""))</f>
        <v/>
      </c>
      <c r="S77" s="15" t="str">
        <f aca="false">IF(OR($C77="",$AA77="Open"),"",IF($L77="Closed",-IF($E77="Sell to open",1,-1)*$N77*$E$2*$H77,0))</f>
        <v/>
      </c>
      <c r="T77" s="15" t="str">
        <f aca="false">IF(OR($C77="",$AA77="Open"),"",$O77+$S77-$K77)</f>
        <v/>
      </c>
      <c r="U77" s="15" t="str">
        <f aca="false">IF(OR($C77="",$AA77="Open"),"",IF(AND($C77="Covered call",$L77="Assigned"),($F77-$J77)*$E$2*$H77,0))</f>
        <v/>
      </c>
      <c r="V77" s="15" t="str">
        <f aca="false">IF(OR($C77="",$AA77="Open"),"",$T77+$U77)</f>
        <v/>
      </c>
      <c r="W77" s="15" t="str">
        <f aca="false">IF($C77="","",IF(OR($C77="Long call",$C77="Long put"),$I77*$E$2*$H77,(IF($C77="Covered call",$J77,$F77)-$I77)*$E$2*$H77))</f>
        <v/>
      </c>
      <c r="X77" s="17" t="str">
        <f aca="false">IF(OR($C77="",$AA77="Open"),"",IF($W77&gt;0,$V77/$W77,""))</f>
        <v/>
      </c>
      <c r="Y77" s="17" t="str">
        <f aca="false">IF(OR($C77="",$AA77="Open"),"",IF($W77&gt;0,$X77*365/MAX($Q77,1),""))</f>
        <v/>
      </c>
      <c r="Z77" s="18" t="str">
        <f aca="false">IF(OR($C77="",$AA77="Open"),"",IF($M77&lt;&gt;"",$M77,$G77))</f>
        <v/>
      </c>
      <c r="AA77" s="12" t="str">
        <f aca="false">IF($C77="","",IF(OR($L77="Open",$L77=""),"Open","Realized"))</f>
        <v/>
      </c>
    </row>
    <row r="78" customFormat="false" ht="15" hidden="false" customHeight="false" outlineLevel="0" collapsed="false">
      <c r="A78" s="7"/>
      <c r="B78" s="9"/>
      <c r="C78" s="32"/>
      <c r="D78" s="12" t="str">
        <f aca="false">IF($C78="","",IF(OR($C78="Long call",$C78="Covered call"),"Call","Put"))</f>
        <v/>
      </c>
      <c r="E78" s="12" t="str">
        <f aca="false">IF($C78="","",IF(OR($C78="Long call",$C78="Long put"),"Buy to open","Sell to open"))</f>
        <v/>
      </c>
      <c r="F78" s="13"/>
      <c r="G78" s="7"/>
      <c r="H78" s="14"/>
      <c r="I78" s="13"/>
      <c r="J78" s="13"/>
      <c r="K78" s="13"/>
      <c r="L78" s="32"/>
      <c r="M78" s="7"/>
      <c r="N78" s="13"/>
      <c r="O78" s="15" t="str">
        <f aca="false">IF($C78="","",IF($E78="Sell to open",1,-1)*$I78*$E$2*$H78)</f>
        <v/>
      </c>
      <c r="P78" s="15" t="str">
        <f aca="false">IF($C78="","",IF($C78="Long call",$F78+$I78,IF($C78="Covered call",$J78-$I78,$F78-$I78)))</f>
        <v/>
      </c>
      <c r="Q78" s="16" t="str">
        <f aca="false">IF($C78="","",IF($AA78="Open",$B$2,IF($M78&lt;&gt;"",$M78,$G78))-$A78)</f>
        <v/>
      </c>
      <c r="R78" s="16" t="str">
        <f aca="false">IF($C78="","",IF($AA78="Open",MAX($G78-$B$2,0),""))</f>
        <v/>
      </c>
      <c r="S78" s="15" t="str">
        <f aca="false">IF(OR($C78="",$AA78="Open"),"",IF($L78="Closed",-IF($E78="Sell to open",1,-1)*$N78*$E$2*$H78,0))</f>
        <v/>
      </c>
      <c r="T78" s="15" t="str">
        <f aca="false">IF(OR($C78="",$AA78="Open"),"",$O78+$S78-$K78)</f>
        <v/>
      </c>
      <c r="U78" s="15" t="str">
        <f aca="false">IF(OR($C78="",$AA78="Open"),"",IF(AND($C78="Covered call",$L78="Assigned"),($F78-$J78)*$E$2*$H78,0))</f>
        <v/>
      </c>
      <c r="V78" s="15" t="str">
        <f aca="false">IF(OR($C78="",$AA78="Open"),"",$T78+$U78)</f>
        <v/>
      </c>
      <c r="W78" s="15" t="str">
        <f aca="false">IF($C78="","",IF(OR($C78="Long call",$C78="Long put"),$I78*$E$2*$H78,(IF($C78="Covered call",$J78,$F78)-$I78)*$E$2*$H78))</f>
        <v/>
      </c>
      <c r="X78" s="17" t="str">
        <f aca="false">IF(OR($C78="",$AA78="Open"),"",IF($W78&gt;0,$V78/$W78,""))</f>
        <v/>
      </c>
      <c r="Y78" s="17" t="str">
        <f aca="false">IF(OR($C78="",$AA78="Open"),"",IF($W78&gt;0,$X78*365/MAX($Q78,1),""))</f>
        <v/>
      </c>
      <c r="Z78" s="18" t="str">
        <f aca="false">IF(OR($C78="",$AA78="Open"),"",IF($M78&lt;&gt;"",$M78,$G78))</f>
        <v/>
      </c>
      <c r="AA78" s="12" t="str">
        <f aca="false">IF($C78="","",IF(OR($L78="Open",$L78=""),"Open","Realized"))</f>
        <v/>
      </c>
    </row>
    <row r="79" customFormat="false" ht="15" hidden="false" customHeight="false" outlineLevel="0" collapsed="false">
      <c r="A79" s="7"/>
      <c r="B79" s="9"/>
      <c r="C79" s="32"/>
      <c r="D79" s="12" t="str">
        <f aca="false">IF($C79="","",IF(OR($C79="Long call",$C79="Covered call"),"Call","Put"))</f>
        <v/>
      </c>
      <c r="E79" s="12" t="str">
        <f aca="false">IF($C79="","",IF(OR($C79="Long call",$C79="Long put"),"Buy to open","Sell to open"))</f>
        <v/>
      </c>
      <c r="F79" s="13"/>
      <c r="G79" s="7"/>
      <c r="H79" s="14"/>
      <c r="I79" s="13"/>
      <c r="J79" s="13"/>
      <c r="K79" s="13"/>
      <c r="L79" s="32"/>
      <c r="M79" s="7"/>
      <c r="N79" s="13"/>
      <c r="O79" s="15" t="str">
        <f aca="false">IF($C79="","",IF($E79="Sell to open",1,-1)*$I79*$E$2*$H79)</f>
        <v/>
      </c>
      <c r="P79" s="15" t="str">
        <f aca="false">IF($C79="","",IF($C79="Long call",$F79+$I79,IF($C79="Covered call",$J79-$I79,$F79-$I79)))</f>
        <v/>
      </c>
      <c r="Q79" s="16" t="str">
        <f aca="false">IF($C79="","",IF($AA79="Open",$B$2,IF($M79&lt;&gt;"",$M79,$G79))-$A79)</f>
        <v/>
      </c>
      <c r="R79" s="16" t="str">
        <f aca="false">IF($C79="","",IF($AA79="Open",MAX($G79-$B$2,0),""))</f>
        <v/>
      </c>
      <c r="S79" s="15" t="str">
        <f aca="false">IF(OR($C79="",$AA79="Open"),"",IF($L79="Closed",-IF($E79="Sell to open",1,-1)*$N79*$E$2*$H79,0))</f>
        <v/>
      </c>
      <c r="T79" s="15" t="str">
        <f aca="false">IF(OR($C79="",$AA79="Open"),"",$O79+$S79-$K79)</f>
        <v/>
      </c>
      <c r="U79" s="15" t="str">
        <f aca="false">IF(OR($C79="",$AA79="Open"),"",IF(AND($C79="Covered call",$L79="Assigned"),($F79-$J79)*$E$2*$H79,0))</f>
        <v/>
      </c>
      <c r="V79" s="15" t="str">
        <f aca="false">IF(OR($C79="",$AA79="Open"),"",$T79+$U79)</f>
        <v/>
      </c>
      <c r="W79" s="15" t="str">
        <f aca="false">IF($C79="","",IF(OR($C79="Long call",$C79="Long put"),$I79*$E$2*$H79,(IF($C79="Covered call",$J79,$F79)-$I79)*$E$2*$H79))</f>
        <v/>
      </c>
      <c r="X79" s="17" t="str">
        <f aca="false">IF(OR($C79="",$AA79="Open"),"",IF($W79&gt;0,$V79/$W79,""))</f>
        <v/>
      </c>
      <c r="Y79" s="17" t="str">
        <f aca="false">IF(OR($C79="",$AA79="Open"),"",IF($W79&gt;0,$X79*365/MAX($Q79,1),""))</f>
        <v/>
      </c>
      <c r="Z79" s="18" t="str">
        <f aca="false">IF(OR($C79="",$AA79="Open"),"",IF($M79&lt;&gt;"",$M79,$G79))</f>
        <v/>
      </c>
      <c r="AA79" s="12" t="str">
        <f aca="false">IF($C79="","",IF(OR($L79="Open",$L79=""),"Open","Realized"))</f>
        <v/>
      </c>
    </row>
    <row r="80" customFormat="false" ht="15" hidden="false" customHeight="false" outlineLevel="0" collapsed="false">
      <c r="A80" s="7"/>
      <c r="B80" s="9"/>
      <c r="C80" s="32"/>
      <c r="D80" s="12" t="str">
        <f aca="false">IF($C80="","",IF(OR($C80="Long call",$C80="Covered call"),"Call","Put"))</f>
        <v/>
      </c>
      <c r="E80" s="12" t="str">
        <f aca="false">IF($C80="","",IF(OR($C80="Long call",$C80="Long put"),"Buy to open","Sell to open"))</f>
        <v/>
      </c>
      <c r="F80" s="13"/>
      <c r="G80" s="7"/>
      <c r="H80" s="14"/>
      <c r="I80" s="13"/>
      <c r="J80" s="13"/>
      <c r="K80" s="13"/>
      <c r="L80" s="32"/>
      <c r="M80" s="7"/>
      <c r="N80" s="13"/>
      <c r="O80" s="15" t="str">
        <f aca="false">IF($C80="","",IF($E80="Sell to open",1,-1)*$I80*$E$2*$H80)</f>
        <v/>
      </c>
      <c r="P80" s="15" t="str">
        <f aca="false">IF($C80="","",IF($C80="Long call",$F80+$I80,IF($C80="Covered call",$J80-$I80,$F80-$I80)))</f>
        <v/>
      </c>
      <c r="Q80" s="16" t="str">
        <f aca="false">IF($C80="","",IF($AA80="Open",$B$2,IF($M80&lt;&gt;"",$M80,$G80))-$A80)</f>
        <v/>
      </c>
      <c r="R80" s="16" t="str">
        <f aca="false">IF($C80="","",IF($AA80="Open",MAX($G80-$B$2,0),""))</f>
        <v/>
      </c>
      <c r="S80" s="15" t="str">
        <f aca="false">IF(OR($C80="",$AA80="Open"),"",IF($L80="Closed",-IF($E80="Sell to open",1,-1)*$N80*$E$2*$H80,0))</f>
        <v/>
      </c>
      <c r="T80" s="15" t="str">
        <f aca="false">IF(OR($C80="",$AA80="Open"),"",$O80+$S80-$K80)</f>
        <v/>
      </c>
      <c r="U80" s="15" t="str">
        <f aca="false">IF(OR($C80="",$AA80="Open"),"",IF(AND($C80="Covered call",$L80="Assigned"),($F80-$J80)*$E$2*$H80,0))</f>
        <v/>
      </c>
      <c r="V80" s="15" t="str">
        <f aca="false">IF(OR($C80="",$AA80="Open"),"",$T80+$U80)</f>
        <v/>
      </c>
      <c r="W80" s="15" t="str">
        <f aca="false">IF($C80="","",IF(OR($C80="Long call",$C80="Long put"),$I80*$E$2*$H80,(IF($C80="Covered call",$J80,$F80)-$I80)*$E$2*$H80))</f>
        <v/>
      </c>
      <c r="X80" s="17" t="str">
        <f aca="false">IF(OR($C80="",$AA80="Open"),"",IF($W80&gt;0,$V80/$W80,""))</f>
        <v/>
      </c>
      <c r="Y80" s="17" t="str">
        <f aca="false">IF(OR($C80="",$AA80="Open"),"",IF($W80&gt;0,$X80*365/MAX($Q80,1),""))</f>
        <v/>
      </c>
      <c r="Z80" s="18" t="str">
        <f aca="false">IF(OR($C80="",$AA80="Open"),"",IF($M80&lt;&gt;"",$M80,$G80))</f>
        <v/>
      </c>
      <c r="AA80" s="12" t="str">
        <f aca="false">IF($C80="","",IF(OR($L80="Open",$L80=""),"Open","Realized"))</f>
        <v/>
      </c>
    </row>
    <row r="81" customFormat="false" ht="15" hidden="false" customHeight="false" outlineLevel="0" collapsed="false">
      <c r="A81" s="7"/>
      <c r="B81" s="9"/>
      <c r="C81" s="32"/>
      <c r="D81" s="12" t="str">
        <f aca="false">IF($C81="","",IF(OR($C81="Long call",$C81="Covered call"),"Call","Put"))</f>
        <v/>
      </c>
      <c r="E81" s="12" t="str">
        <f aca="false">IF($C81="","",IF(OR($C81="Long call",$C81="Long put"),"Buy to open","Sell to open"))</f>
        <v/>
      </c>
      <c r="F81" s="13"/>
      <c r="G81" s="7"/>
      <c r="H81" s="14"/>
      <c r="I81" s="13"/>
      <c r="J81" s="13"/>
      <c r="K81" s="13"/>
      <c r="L81" s="32"/>
      <c r="M81" s="7"/>
      <c r="N81" s="13"/>
      <c r="O81" s="15" t="str">
        <f aca="false">IF($C81="","",IF($E81="Sell to open",1,-1)*$I81*$E$2*$H81)</f>
        <v/>
      </c>
      <c r="P81" s="15" t="str">
        <f aca="false">IF($C81="","",IF($C81="Long call",$F81+$I81,IF($C81="Covered call",$J81-$I81,$F81-$I81)))</f>
        <v/>
      </c>
      <c r="Q81" s="16" t="str">
        <f aca="false">IF($C81="","",IF($AA81="Open",$B$2,IF($M81&lt;&gt;"",$M81,$G81))-$A81)</f>
        <v/>
      </c>
      <c r="R81" s="16" t="str">
        <f aca="false">IF($C81="","",IF($AA81="Open",MAX($G81-$B$2,0),""))</f>
        <v/>
      </c>
      <c r="S81" s="15" t="str">
        <f aca="false">IF(OR($C81="",$AA81="Open"),"",IF($L81="Closed",-IF($E81="Sell to open",1,-1)*$N81*$E$2*$H81,0))</f>
        <v/>
      </c>
      <c r="T81" s="15" t="str">
        <f aca="false">IF(OR($C81="",$AA81="Open"),"",$O81+$S81-$K81)</f>
        <v/>
      </c>
      <c r="U81" s="15" t="str">
        <f aca="false">IF(OR($C81="",$AA81="Open"),"",IF(AND($C81="Covered call",$L81="Assigned"),($F81-$J81)*$E$2*$H81,0))</f>
        <v/>
      </c>
      <c r="V81" s="15" t="str">
        <f aca="false">IF(OR($C81="",$AA81="Open"),"",$T81+$U81)</f>
        <v/>
      </c>
      <c r="W81" s="15" t="str">
        <f aca="false">IF($C81="","",IF(OR($C81="Long call",$C81="Long put"),$I81*$E$2*$H81,(IF($C81="Covered call",$J81,$F81)-$I81)*$E$2*$H81))</f>
        <v/>
      </c>
      <c r="X81" s="17" t="str">
        <f aca="false">IF(OR($C81="",$AA81="Open"),"",IF($W81&gt;0,$V81/$W81,""))</f>
        <v/>
      </c>
      <c r="Y81" s="17" t="str">
        <f aca="false">IF(OR($C81="",$AA81="Open"),"",IF($W81&gt;0,$X81*365/MAX($Q81,1),""))</f>
        <v/>
      </c>
      <c r="Z81" s="18" t="str">
        <f aca="false">IF(OR($C81="",$AA81="Open"),"",IF($M81&lt;&gt;"",$M81,$G81))</f>
        <v/>
      </c>
      <c r="AA81" s="12" t="str">
        <f aca="false">IF($C81="","",IF(OR($L81="Open",$L81=""),"Open","Realized"))</f>
        <v/>
      </c>
    </row>
    <row r="82" customFormat="false" ht="15" hidden="false" customHeight="false" outlineLevel="0" collapsed="false">
      <c r="A82" s="7"/>
      <c r="B82" s="9"/>
      <c r="C82" s="32"/>
      <c r="D82" s="12" t="str">
        <f aca="false">IF($C82="","",IF(OR($C82="Long call",$C82="Covered call"),"Call","Put"))</f>
        <v/>
      </c>
      <c r="E82" s="12" t="str">
        <f aca="false">IF($C82="","",IF(OR($C82="Long call",$C82="Long put"),"Buy to open","Sell to open"))</f>
        <v/>
      </c>
      <c r="F82" s="13"/>
      <c r="G82" s="7"/>
      <c r="H82" s="14"/>
      <c r="I82" s="13"/>
      <c r="J82" s="13"/>
      <c r="K82" s="13"/>
      <c r="L82" s="32"/>
      <c r="M82" s="7"/>
      <c r="N82" s="13"/>
      <c r="O82" s="15" t="str">
        <f aca="false">IF($C82="","",IF($E82="Sell to open",1,-1)*$I82*$E$2*$H82)</f>
        <v/>
      </c>
      <c r="P82" s="15" t="str">
        <f aca="false">IF($C82="","",IF($C82="Long call",$F82+$I82,IF($C82="Covered call",$J82-$I82,$F82-$I82)))</f>
        <v/>
      </c>
      <c r="Q82" s="16" t="str">
        <f aca="false">IF($C82="","",IF($AA82="Open",$B$2,IF($M82&lt;&gt;"",$M82,$G82))-$A82)</f>
        <v/>
      </c>
      <c r="R82" s="16" t="str">
        <f aca="false">IF($C82="","",IF($AA82="Open",MAX($G82-$B$2,0),""))</f>
        <v/>
      </c>
      <c r="S82" s="15" t="str">
        <f aca="false">IF(OR($C82="",$AA82="Open"),"",IF($L82="Closed",-IF($E82="Sell to open",1,-1)*$N82*$E$2*$H82,0))</f>
        <v/>
      </c>
      <c r="T82" s="15" t="str">
        <f aca="false">IF(OR($C82="",$AA82="Open"),"",$O82+$S82-$K82)</f>
        <v/>
      </c>
      <c r="U82" s="15" t="str">
        <f aca="false">IF(OR($C82="",$AA82="Open"),"",IF(AND($C82="Covered call",$L82="Assigned"),($F82-$J82)*$E$2*$H82,0))</f>
        <v/>
      </c>
      <c r="V82" s="15" t="str">
        <f aca="false">IF(OR($C82="",$AA82="Open"),"",$T82+$U82)</f>
        <v/>
      </c>
      <c r="W82" s="15" t="str">
        <f aca="false">IF($C82="","",IF(OR($C82="Long call",$C82="Long put"),$I82*$E$2*$H82,(IF($C82="Covered call",$J82,$F82)-$I82)*$E$2*$H82))</f>
        <v/>
      </c>
      <c r="X82" s="17" t="str">
        <f aca="false">IF(OR($C82="",$AA82="Open"),"",IF($W82&gt;0,$V82/$W82,""))</f>
        <v/>
      </c>
      <c r="Y82" s="17" t="str">
        <f aca="false">IF(OR($C82="",$AA82="Open"),"",IF($W82&gt;0,$X82*365/MAX($Q82,1),""))</f>
        <v/>
      </c>
      <c r="Z82" s="18" t="str">
        <f aca="false">IF(OR($C82="",$AA82="Open"),"",IF($M82&lt;&gt;"",$M82,$G82))</f>
        <v/>
      </c>
      <c r="AA82" s="12" t="str">
        <f aca="false">IF($C82="","",IF(OR($L82="Open",$L82=""),"Open","Realized"))</f>
        <v/>
      </c>
    </row>
    <row r="83" customFormat="false" ht="15" hidden="false" customHeight="false" outlineLevel="0" collapsed="false">
      <c r="A83" s="7"/>
      <c r="B83" s="9"/>
      <c r="C83" s="32"/>
      <c r="D83" s="12" t="str">
        <f aca="false">IF($C83="","",IF(OR($C83="Long call",$C83="Covered call"),"Call","Put"))</f>
        <v/>
      </c>
      <c r="E83" s="12" t="str">
        <f aca="false">IF($C83="","",IF(OR($C83="Long call",$C83="Long put"),"Buy to open","Sell to open"))</f>
        <v/>
      </c>
      <c r="F83" s="13"/>
      <c r="G83" s="7"/>
      <c r="H83" s="14"/>
      <c r="I83" s="13"/>
      <c r="J83" s="13"/>
      <c r="K83" s="13"/>
      <c r="L83" s="32"/>
      <c r="M83" s="7"/>
      <c r="N83" s="13"/>
      <c r="O83" s="15" t="str">
        <f aca="false">IF($C83="","",IF($E83="Sell to open",1,-1)*$I83*$E$2*$H83)</f>
        <v/>
      </c>
      <c r="P83" s="15" t="str">
        <f aca="false">IF($C83="","",IF($C83="Long call",$F83+$I83,IF($C83="Covered call",$J83-$I83,$F83-$I83)))</f>
        <v/>
      </c>
      <c r="Q83" s="16" t="str">
        <f aca="false">IF($C83="","",IF($AA83="Open",$B$2,IF($M83&lt;&gt;"",$M83,$G83))-$A83)</f>
        <v/>
      </c>
      <c r="R83" s="16" t="str">
        <f aca="false">IF($C83="","",IF($AA83="Open",MAX($G83-$B$2,0),""))</f>
        <v/>
      </c>
      <c r="S83" s="15" t="str">
        <f aca="false">IF(OR($C83="",$AA83="Open"),"",IF($L83="Closed",-IF($E83="Sell to open",1,-1)*$N83*$E$2*$H83,0))</f>
        <v/>
      </c>
      <c r="T83" s="15" t="str">
        <f aca="false">IF(OR($C83="",$AA83="Open"),"",$O83+$S83-$K83)</f>
        <v/>
      </c>
      <c r="U83" s="15" t="str">
        <f aca="false">IF(OR($C83="",$AA83="Open"),"",IF(AND($C83="Covered call",$L83="Assigned"),($F83-$J83)*$E$2*$H83,0))</f>
        <v/>
      </c>
      <c r="V83" s="15" t="str">
        <f aca="false">IF(OR($C83="",$AA83="Open"),"",$T83+$U83)</f>
        <v/>
      </c>
      <c r="W83" s="15" t="str">
        <f aca="false">IF($C83="","",IF(OR($C83="Long call",$C83="Long put"),$I83*$E$2*$H83,(IF($C83="Covered call",$J83,$F83)-$I83)*$E$2*$H83))</f>
        <v/>
      </c>
      <c r="X83" s="17" t="str">
        <f aca="false">IF(OR($C83="",$AA83="Open"),"",IF($W83&gt;0,$V83/$W83,""))</f>
        <v/>
      </c>
      <c r="Y83" s="17" t="str">
        <f aca="false">IF(OR($C83="",$AA83="Open"),"",IF($W83&gt;0,$X83*365/MAX($Q83,1),""))</f>
        <v/>
      </c>
      <c r="Z83" s="18" t="str">
        <f aca="false">IF(OR($C83="",$AA83="Open"),"",IF($M83&lt;&gt;"",$M83,$G83))</f>
        <v/>
      </c>
      <c r="AA83" s="12" t="str">
        <f aca="false">IF($C83="","",IF(OR($L83="Open",$L83=""),"Open","Realized"))</f>
        <v/>
      </c>
    </row>
    <row r="84" customFormat="false" ht="15" hidden="false" customHeight="false" outlineLevel="0" collapsed="false">
      <c r="A84" s="7"/>
      <c r="B84" s="9"/>
      <c r="C84" s="32"/>
      <c r="D84" s="12" t="str">
        <f aca="false">IF($C84="","",IF(OR($C84="Long call",$C84="Covered call"),"Call","Put"))</f>
        <v/>
      </c>
      <c r="E84" s="12" t="str">
        <f aca="false">IF($C84="","",IF(OR($C84="Long call",$C84="Long put"),"Buy to open","Sell to open"))</f>
        <v/>
      </c>
      <c r="F84" s="13"/>
      <c r="G84" s="7"/>
      <c r="H84" s="14"/>
      <c r="I84" s="13"/>
      <c r="J84" s="13"/>
      <c r="K84" s="13"/>
      <c r="L84" s="32"/>
      <c r="M84" s="7"/>
      <c r="N84" s="13"/>
      <c r="O84" s="15" t="str">
        <f aca="false">IF($C84="","",IF($E84="Sell to open",1,-1)*$I84*$E$2*$H84)</f>
        <v/>
      </c>
      <c r="P84" s="15" t="str">
        <f aca="false">IF($C84="","",IF($C84="Long call",$F84+$I84,IF($C84="Covered call",$J84-$I84,$F84-$I84)))</f>
        <v/>
      </c>
      <c r="Q84" s="16" t="str">
        <f aca="false">IF($C84="","",IF($AA84="Open",$B$2,IF($M84&lt;&gt;"",$M84,$G84))-$A84)</f>
        <v/>
      </c>
      <c r="R84" s="16" t="str">
        <f aca="false">IF($C84="","",IF($AA84="Open",MAX($G84-$B$2,0),""))</f>
        <v/>
      </c>
      <c r="S84" s="15" t="str">
        <f aca="false">IF(OR($C84="",$AA84="Open"),"",IF($L84="Closed",-IF($E84="Sell to open",1,-1)*$N84*$E$2*$H84,0))</f>
        <v/>
      </c>
      <c r="T84" s="15" t="str">
        <f aca="false">IF(OR($C84="",$AA84="Open"),"",$O84+$S84-$K84)</f>
        <v/>
      </c>
      <c r="U84" s="15" t="str">
        <f aca="false">IF(OR($C84="",$AA84="Open"),"",IF(AND($C84="Covered call",$L84="Assigned"),($F84-$J84)*$E$2*$H84,0))</f>
        <v/>
      </c>
      <c r="V84" s="15" t="str">
        <f aca="false">IF(OR($C84="",$AA84="Open"),"",$T84+$U84)</f>
        <v/>
      </c>
      <c r="W84" s="15" t="str">
        <f aca="false">IF($C84="","",IF(OR($C84="Long call",$C84="Long put"),$I84*$E$2*$H84,(IF($C84="Covered call",$J84,$F84)-$I84)*$E$2*$H84))</f>
        <v/>
      </c>
      <c r="X84" s="17" t="str">
        <f aca="false">IF(OR($C84="",$AA84="Open"),"",IF($W84&gt;0,$V84/$W84,""))</f>
        <v/>
      </c>
      <c r="Y84" s="17" t="str">
        <f aca="false">IF(OR($C84="",$AA84="Open"),"",IF($W84&gt;0,$X84*365/MAX($Q84,1),""))</f>
        <v/>
      </c>
      <c r="Z84" s="18" t="str">
        <f aca="false">IF(OR($C84="",$AA84="Open"),"",IF($M84&lt;&gt;"",$M84,$G84))</f>
        <v/>
      </c>
      <c r="AA84" s="12" t="str">
        <f aca="false">IF($C84="","",IF(OR($L84="Open",$L84=""),"Open","Realized"))</f>
        <v/>
      </c>
    </row>
    <row r="85" customFormat="false" ht="15" hidden="false" customHeight="false" outlineLevel="0" collapsed="false">
      <c r="A85" s="7"/>
      <c r="B85" s="9"/>
      <c r="C85" s="32"/>
      <c r="D85" s="12" t="str">
        <f aca="false">IF($C85="","",IF(OR($C85="Long call",$C85="Covered call"),"Call","Put"))</f>
        <v/>
      </c>
      <c r="E85" s="12" t="str">
        <f aca="false">IF($C85="","",IF(OR($C85="Long call",$C85="Long put"),"Buy to open","Sell to open"))</f>
        <v/>
      </c>
      <c r="F85" s="13"/>
      <c r="G85" s="7"/>
      <c r="H85" s="14"/>
      <c r="I85" s="13"/>
      <c r="J85" s="13"/>
      <c r="K85" s="13"/>
      <c r="L85" s="32"/>
      <c r="M85" s="7"/>
      <c r="N85" s="13"/>
      <c r="O85" s="15" t="str">
        <f aca="false">IF($C85="","",IF($E85="Sell to open",1,-1)*$I85*$E$2*$H85)</f>
        <v/>
      </c>
      <c r="P85" s="15" t="str">
        <f aca="false">IF($C85="","",IF($C85="Long call",$F85+$I85,IF($C85="Covered call",$J85-$I85,$F85-$I85)))</f>
        <v/>
      </c>
      <c r="Q85" s="16" t="str">
        <f aca="false">IF($C85="","",IF($AA85="Open",$B$2,IF($M85&lt;&gt;"",$M85,$G85))-$A85)</f>
        <v/>
      </c>
      <c r="R85" s="16" t="str">
        <f aca="false">IF($C85="","",IF($AA85="Open",MAX($G85-$B$2,0),""))</f>
        <v/>
      </c>
      <c r="S85" s="15" t="str">
        <f aca="false">IF(OR($C85="",$AA85="Open"),"",IF($L85="Closed",-IF($E85="Sell to open",1,-1)*$N85*$E$2*$H85,0))</f>
        <v/>
      </c>
      <c r="T85" s="15" t="str">
        <f aca="false">IF(OR($C85="",$AA85="Open"),"",$O85+$S85-$K85)</f>
        <v/>
      </c>
      <c r="U85" s="15" t="str">
        <f aca="false">IF(OR($C85="",$AA85="Open"),"",IF(AND($C85="Covered call",$L85="Assigned"),($F85-$J85)*$E$2*$H85,0))</f>
        <v/>
      </c>
      <c r="V85" s="15" t="str">
        <f aca="false">IF(OR($C85="",$AA85="Open"),"",$T85+$U85)</f>
        <v/>
      </c>
      <c r="W85" s="15" t="str">
        <f aca="false">IF($C85="","",IF(OR($C85="Long call",$C85="Long put"),$I85*$E$2*$H85,(IF($C85="Covered call",$J85,$F85)-$I85)*$E$2*$H85))</f>
        <v/>
      </c>
      <c r="X85" s="17" t="str">
        <f aca="false">IF(OR($C85="",$AA85="Open"),"",IF($W85&gt;0,$V85/$W85,""))</f>
        <v/>
      </c>
      <c r="Y85" s="17" t="str">
        <f aca="false">IF(OR($C85="",$AA85="Open"),"",IF($W85&gt;0,$X85*365/MAX($Q85,1),""))</f>
        <v/>
      </c>
      <c r="Z85" s="18" t="str">
        <f aca="false">IF(OR($C85="",$AA85="Open"),"",IF($M85&lt;&gt;"",$M85,$G85))</f>
        <v/>
      </c>
      <c r="AA85" s="12" t="str">
        <f aca="false">IF($C85="","",IF(OR($L85="Open",$L85=""),"Open","Realized"))</f>
        <v/>
      </c>
    </row>
    <row r="86" customFormat="false" ht="15" hidden="false" customHeight="false" outlineLevel="0" collapsed="false">
      <c r="A86" s="7"/>
      <c r="B86" s="9"/>
      <c r="C86" s="32"/>
      <c r="D86" s="12" t="str">
        <f aca="false">IF($C86="","",IF(OR($C86="Long call",$C86="Covered call"),"Call","Put"))</f>
        <v/>
      </c>
      <c r="E86" s="12" t="str">
        <f aca="false">IF($C86="","",IF(OR($C86="Long call",$C86="Long put"),"Buy to open","Sell to open"))</f>
        <v/>
      </c>
      <c r="F86" s="13"/>
      <c r="G86" s="7"/>
      <c r="H86" s="14"/>
      <c r="I86" s="13"/>
      <c r="J86" s="13"/>
      <c r="K86" s="13"/>
      <c r="L86" s="32"/>
      <c r="M86" s="7"/>
      <c r="N86" s="13"/>
      <c r="O86" s="15" t="str">
        <f aca="false">IF($C86="","",IF($E86="Sell to open",1,-1)*$I86*$E$2*$H86)</f>
        <v/>
      </c>
      <c r="P86" s="15" t="str">
        <f aca="false">IF($C86="","",IF($C86="Long call",$F86+$I86,IF($C86="Covered call",$J86-$I86,$F86-$I86)))</f>
        <v/>
      </c>
      <c r="Q86" s="16" t="str">
        <f aca="false">IF($C86="","",IF($AA86="Open",$B$2,IF($M86&lt;&gt;"",$M86,$G86))-$A86)</f>
        <v/>
      </c>
      <c r="R86" s="16" t="str">
        <f aca="false">IF($C86="","",IF($AA86="Open",MAX($G86-$B$2,0),""))</f>
        <v/>
      </c>
      <c r="S86" s="15" t="str">
        <f aca="false">IF(OR($C86="",$AA86="Open"),"",IF($L86="Closed",-IF($E86="Sell to open",1,-1)*$N86*$E$2*$H86,0))</f>
        <v/>
      </c>
      <c r="T86" s="15" t="str">
        <f aca="false">IF(OR($C86="",$AA86="Open"),"",$O86+$S86-$K86)</f>
        <v/>
      </c>
      <c r="U86" s="15" t="str">
        <f aca="false">IF(OR($C86="",$AA86="Open"),"",IF(AND($C86="Covered call",$L86="Assigned"),($F86-$J86)*$E$2*$H86,0))</f>
        <v/>
      </c>
      <c r="V86" s="15" t="str">
        <f aca="false">IF(OR($C86="",$AA86="Open"),"",$T86+$U86)</f>
        <v/>
      </c>
      <c r="W86" s="15" t="str">
        <f aca="false">IF($C86="","",IF(OR($C86="Long call",$C86="Long put"),$I86*$E$2*$H86,(IF($C86="Covered call",$J86,$F86)-$I86)*$E$2*$H86))</f>
        <v/>
      </c>
      <c r="X86" s="17" t="str">
        <f aca="false">IF(OR($C86="",$AA86="Open"),"",IF($W86&gt;0,$V86/$W86,""))</f>
        <v/>
      </c>
      <c r="Y86" s="17" t="str">
        <f aca="false">IF(OR($C86="",$AA86="Open"),"",IF($W86&gt;0,$X86*365/MAX($Q86,1),""))</f>
        <v/>
      </c>
      <c r="Z86" s="18" t="str">
        <f aca="false">IF(OR($C86="",$AA86="Open"),"",IF($M86&lt;&gt;"",$M86,$G86))</f>
        <v/>
      </c>
      <c r="AA86" s="12" t="str">
        <f aca="false">IF($C86="","",IF(OR($L86="Open",$L86=""),"Open","Realized"))</f>
        <v/>
      </c>
    </row>
    <row r="87" customFormat="false" ht="15" hidden="false" customHeight="false" outlineLevel="0" collapsed="false">
      <c r="A87" s="7"/>
      <c r="B87" s="9"/>
      <c r="C87" s="32"/>
      <c r="D87" s="12" t="str">
        <f aca="false">IF($C87="","",IF(OR($C87="Long call",$C87="Covered call"),"Call","Put"))</f>
        <v/>
      </c>
      <c r="E87" s="12" t="str">
        <f aca="false">IF($C87="","",IF(OR($C87="Long call",$C87="Long put"),"Buy to open","Sell to open"))</f>
        <v/>
      </c>
      <c r="F87" s="13"/>
      <c r="G87" s="7"/>
      <c r="H87" s="14"/>
      <c r="I87" s="13"/>
      <c r="J87" s="13"/>
      <c r="K87" s="13"/>
      <c r="L87" s="32"/>
      <c r="M87" s="7"/>
      <c r="N87" s="13"/>
      <c r="O87" s="15" t="str">
        <f aca="false">IF($C87="","",IF($E87="Sell to open",1,-1)*$I87*$E$2*$H87)</f>
        <v/>
      </c>
      <c r="P87" s="15" t="str">
        <f aca="false">IF($C87="","",IF($C87="Long call",$F87+$I87,IF($C87="Covered call",$J87-$I87,$F87-$I87)))</f>
        <v/>
      </c>
      <c r="Q87" s="16" t="str">
        <f aca="false">IF($C87="","",IF($AA87="Open",$B$2,IF($M87&lt;&gt;"",$M87,$G87))-$A87)</f>
        <v/>
      </c>
      <c r="R87" s="16" t="str">
        <f aca="false">IF($C87="","",IF($AA87="Open",MAX($G87-$B$2,0),""))</f>
        <v/>
      </c>
      <c r="S87" s="15" t="str">
        <f aca="false">IF(OR($C87="",$AA87="Open"),"",IF($L87="Closed",-IF($E87="Sell to open",1,-1)*$N87*$E$2*$H87,0))</f>
        <v/>
      </c>
      <c r="T87" s="15" t="str">
        <f aca="false">IF(OR($C87="",$AA87="Open"),"",$O87+$S87-$K87)</f>
        <v/>
      </c>
      <c r="U87" s="15" t="str">
        <f aca="false">IF(OR($C87="",$AA87="Open"),"",IF(AND($C87="Covered call",$L87="Assigned"),($F87-$J87)*$E$2*$H87,0))</f>
        <v/>
      </c>
      <c r="V87" s="15" t="str">
        <f aca="false">IF(OR($C87="",$AA87="Open"),"",$T87+$U87)</f>
        <v/>
      </c>
      <c r="W87" s="15" t="str">
        <f aca="false">IF($C87="","",IF(OR($C87="Long call",$C87="Long put"),$I87*$E$2*$H87,(IF($C87="Covered call",$J87,$F87)-$I87)*$E$2*$H87))</f>
        <v/>
      </c>
      <c r="X87" s="17" t="str">
        <f aca="false">IF(OR($C87="",$AA87="Open"),"",IF($W87&gt;0,$V87/$W87,""))</f>
        <v/>
      </c>
      <c r="Y87" s="17" t="str">
        <f aca="false">IF(OR($C87="",$AA87="Open"),"",IF($W87&gt;0,$X87*365/MAX($Q87,1),""))</f>
        <v/>
      </c>
      <c r="Z87" s="18" t="str">
        <f aca="false">IF(OR($C87="",$AA87="Open"),"",IF($M87&lt;&gt;"",$M87,$G87))</f>
        <v/>
      </c>
      <c r="AA87" s="12" t="str">
        <f aca="false">IF($C87="","",IF(OR($L87="Open",$L87=""),"Open","Realized"))</f>
        <v/>
      </c>
    </row>
    <row r="88" customFormat="false" ht="15" hidden="false" customHeight="false" outlineLevel="0" collapsed="false">
      <c r="A88" s="7"/>
      <c r="B88" s="9"/>
      <c r="C88" s="32"/>
      <c r="D88" s="12" t="str">
        <f aca="false">IF($C88="","",IF(OR($C88="Long call",$C88="Covered call"),"Call","Put"))</f>
        <v/>
      </c>
      <c r="E88" s="12" t="str">
        <f aca="false">IF($C88="","",IF(OR($C88="Long call",$C88="Long put"),"Buy to open","Sell to open"))</f>
        <v/>
      </c>
      <c r="F88" s="13"/>
      <c r="G88" s="7"/>
      <c r="H88" s="14"/>
      <c r="I88" s="13"/>
      <c r="J88" s="13"/>
      <c r="K88" s="13"/>
      <c r="L88" s="32"/>
      <c r="M88" s="7"/>
      <c r="N88" s="13"/>
      <c r="O88" s="15" t="str">
        <f aca="false">IF($C88="","",IF($E88="Sell to open",1,-1)*$I88*$E$2*$H88)</f>
        <v/>
      </c>
      <c r="P88" s="15" t="str">
        <f aca="false">IF($C88="","",IF($C88="Long call",$F88+$I88,IF($C88="Covered call",$J88-$I88,$F88-$I88)))</f>
        <v/>
      </c>
      <c r="Q88" s="16" t="str">
        <f aca="false">IF($C88="","",IF($AA88="Open",$B$2,IF($M88&lt;&gt;"",$M88,$G88))-$A88)</f>
        <v/>
      </c>
      <c r="R88" s="16" t="str">
        <f aca="false">IF($C88="","",IF($AA88="Open",MAX($G88-$B$2,0),""))</f>
        <v/>
      </c>
      <c r="S88" s="15" t="str">
        <f aca="false">IF(OR($C88="",$AA88="Open"),"",IF($L88="Closed",-IF($E88="Sell to open",1,-1)*$N88*$E$2*$H88,0))</f>
        <v/>
      </c>
      <c r="T88" s="15" t="str">
        <f aca="false">IF(OR($C88="",$AA88="Open"),"",$O88+$S88-$K88)</f>
        <v/>
      </c>
      <c r="U88" s="15" t="str">
        <f aca="false">IF(OR($C88="",$AA88="Open"),"",IF(AND($C88="Covered call",$L88="Assigned"),($F88-$J88)*$E$2*$H88,0))</f>
        <v/>
      </c>
      <c r="V88" s="15" t="str">
        <f aca="false">IF(OR($C88="",$AA88="Open"),"",$T88+$U88)</f>
        <v/>
      </c>
      <c r="W88" s="15" t="str">
        <f aca="false">IF($C88="","",IF(OR($C88="Long call",$C88="Long put"),$I88*$E$2*$H88,(IF($C88="Covered call",$J88,$F88)-$I88)*$E$2*$H88))</f>
        <v/>
      </c>
      <c r="X88" s="17" t="str">
        <f aca="false">IF(OR($C88="",$AA88="Open"),"",IF($W88&gt;0,$V88/$W88,""))</f>
        <v/>
      </c>
      <c r="Y88" s="17" t="str">
        <f aca="false">IF(OR($C88="",$AA88="Open"),"",IF($W88&gt;0,$X88*365/MAX($Q88,1),""))</f>
        <v/>
      </c>
      <c r="Z88" s="18" t="str">
        <f aca="false">IF(OR($C88="",$AA88="Open"),"",IF($M88&lt;&gt;"",$M88,$G88))</f>
        <v/>
      </c>
      <c r="AA88" s="12" t="str">
        <f aca="false">IF($C88="","",IF(OR($L88="Open",$L88=""),"Open","Realized"))</f>
        <v/>
      </c>
    </row>
    <row r="89" customFormat="false" ht="15" hidden="false" customHeight="false" outlineLevel="0" collapsed="false">
      <c r="A89" s="7"/>
      <c r="B89" s="9"/>
      <c r="C89" s="32"/>
      <c r="D89" s="12" t="str">
        <f aca="false">IF($C89="","",IF(OR($C89="Long call",$C89="Covered call"),"Call","Put"))</f>
        <v/>
      </c>
      <c r="E89" s="12" t="str">
        <f aca="false">IF($C89="","",IF(OR($C89="Long call",$C89="Long put"),"Buy to open","Sell to open"))</f>
        <v/>
      </c>
      <c r="F89" s="13"/>
      <c r="G89" s="7"/>
      <c r="H89" s="14"/>
      <c r="I89" s="13"/>
      <c r="J89" s="13"/>
      <c r="K89" s="13"/>
      <c r="L89" s="32"/>
      <c r="M89" s="7"/>
      <c r="N89" s="13"/>
      <c r="O89" s="15" t="str">
        <f aca="false">IF($C89="","",IF($E89="Sell to open",1,-1)*$I89*$E$2*$H89)</f>
        <v/>
      </c>
      <c r="P89" s="15" t="str">
        <f aca="false">IF($C89="","",IF($C89="Long call",$F89+$I89,IF($C89="Covered call",$J89-$I89,$F89-$I89)))</f>
        <v/>
      </c>
      <c r="Q89" s="16" t="str">
        <f aca="false">IF($C89="","",IF($AA89="Open",$B$2,IF($M89&lt;&gt;"",$M89,$G89))-$A89)</f>
        <v/>
      </c>
      <c r="R89" s="16" t="str">
        <f aca="false">IF($C89="","",IF($AA89="Open",MAX($G89-$B$2,0),""))</f>
        <v/>
      </c>
      <c r="S89" s="15" t="str">
        <f aca="false">IF(OR($C89="",$AA89="Open"),"",IF($L89="Closed",-IF($E89="Sell to open",1,-1)*$N89*$E$2*$H89,0))</f>
        <v/>
      </c>
      <c r="T89" s="15" t="str">
        <f aca="false">IF(OR($C89="",$AA89="Open"),"",$O89+$S89-$K89)</f>
        <v/>
      </c>
      <c r="U89" s="15" t="str">
        <f aca="false">IF(OR($C89="",$AA89="Open"),"",IF(AND($C89="Covered call",$L89="Assigned"),($F89-$J89)*$E$2*$H89,0))</f>
        <v/>
      </c>
      <c r="V89" s="15" t="str">
        <f aca="false">IF(OR($C89="",$AA89="Open"),"",$T89+$U89)</f>
        <v/>
      </c>
      <c r="W89" s="15" t="str">
        <f aca="false">IF($C89="","",IF(OR($C89="Long call",$C89="Long put"),$I89*$E$2*$H89,(IF($C89="Covered call",$J89,$F89)-$I89)*$E$2*$H89))</f>
        <v/>
      </c>
      <c r="X89" s="17" t="str">
        <f aca="false">IF(OR($C89="",$AA89="Open"),"",IF($W89&gt;0,$V89/$W89,""))</f>
        <v/>
      </c>
      <c r="Y89" s="17" t="str">
        <f aca="false">IF(OR($C89="",$AA89="Open"),"",IF($W89&gt;0,$X89*365/MAX($Q89,1),""))</f>
        <v/>
      </c>
      <c r="Z89" s="18" t="str">
        <f aca="false">IF(OR($C89="",$AA89="Open"),"",IF($M89&lt;&gt;"",$M89,$G89))</f>
        <v/>
      </c>
      <c r="AA89" s="12" t="str">
        <f aca="false">IF($C89="","",IF(OR($L89="Open",$L89=""),"Open","Realized"))</f>
        <v/>
      </c>
    </row>
    <row r="90" customFormat="false" ht="15" hidden="false" customHeight="false" outlineLevel="0" collapsed="false">
      <c r="A90" s="7"/>
      <c r="B90" s="9"/>
      <c r="C90" s="32"/>
      <c r="D90" s="12" t="str">
        <f aca="false">IF($C90="","",IF(OR($C90="Long call",$C90="Covered call"),"Call","Put"))</f>
        <v/>
      </c>
      <c r="E90" s="12" t="str">
        <f aca="false">IF($C90="","",IF(OR($C90="Long call",$C90="Long put"),"Buy to open","Sell to open"))</f>
        <v/>
      </c>
      <c r="F90" s="13"/>
      <c r="G90" s="7"/>
      <c r="H90" s="14"/>
      <c r="I90" s="13"/>
      <c r="J90" s="13"/>
      <c r="K90" s="13"/>
      <c r="L90" s="32"/>
      <c r="M90" s="7"/>
      <c r="N90" s="13"/>
      <c r="O90" s="15" t="str">
        <f aca="false">IF($C90="","",IF($E90="Sell to open",1,-1)*$I90*$E$2*$H90)</f>
        <v/>
      </c>
      <c r="P90" s="15" t="str">
        <f aca="false">IF($C90="","",IF($C90="Long call",$F90+$I90,IF($C90="Covered call",$J90-$I90,$F90-$I90)))</f>
        <v/>
      </c>
      <c r="Q90" s="16" t="str">
        <f aca="false">IF($C90="","",IF($AA90="Open",$B$2,IF($M90&lt;&gt;"",$M90,$G90))-$A90)</f>
        <v/>
      </c>
      <c r="R90" s="16" t="str">
        <f aca="false">IF($C90="","",IF($AA90="Open",MAX($G90-$B$2,0),""))</f>
        <v/>
      </c>
      <c r="S90" s="15" t="str">
        <f aca="false">IF(OR($C90="",$AA90="Open"),"",IF($L90="Closed",-IF($E90="Sell to open",1,-1)*$N90*$E$2*$H90,0))</f>
        <v/>
      </c>
      <c r="T90" s="15" t="str">
        <f aca="false">IF(OR($C90="",$AA90="Open"),"",$O90+$S90-$K90)</f>
        <v/>
      </c>
      <c r="U90" s="15" t="str">
        <f aca="false">IF(OR($C90="",$AA90="Open"),"",IF(AND($C90="Covered call",$L90="Assigned"),($F90-$J90)*$E$2*$H90,0))</f>
        <v/>
      </c>
      <c r="V90" s="15" t="str">
        <f aca="false">IF(OR($C90="",$AA90="Open"),"",$T90+$U90)</f>
        <v/>
      </c>
      <c r="W90" s="15" t="str">
        <f aca="false">IF($C90="","",IF(OR($C90="Long call",$C90="Long put"),$I90*$E$2*$H90,(IF($C90="Covered call",$J90,$F90)-$I90)*$E$2*$H90))</f>
        <v/>
      </c>
      <c r="X90" s="17" t="str">
        <f aca="false">IF(OR($C90="",$AA90="Open"),"",IF($W90&gt;0,$V90/$W90,""))</f>
        <v/>
      </c>
      <c r="Y90" s="17" t="str">
        <f aca="false">IF(OR($C90="",$AA90="Open"),"",IF($W90&gt;0,$X90*365/MAX($Q90,1),""))</f>
        <v/>
      </c>
      <c r="Z90" s="18" t="str">
        <f aca="false">IF(OR($C90="",$AA90="Open"),"",IF($M90&lt;&gt;"",$M90,$G90))</f>
        <v/>
      </c>
      <c r="AA90" s="12" t="str">
        <f aca="false">IF($C90="","",IF(OR($L90="Open",$L90=""),"Open","Realized"))</f>
        <v/>
      </c>
    </row>
    <row r="91" customFormat="false" ht="15" hidden="false" customHeight="false" outlineLevel="0" collapsed="false">
      <c r="A91" s="7"/>
      <c r="B91" s="9"/>
      <c r="C91" s="32"/>
      <c r="D91" s="12" t="str">
        <f aca="false">IF($C91="","",IF(OR($C91="Long call",$C91="Covered call"),"Call","Put"))</f>
        <v/>
      </c>
      <c r="E91" s="12" t="str">
        <f aca="false">IF($C91="","",IF(OR($C91="Long call",$C91="Long put"),"Buy to open","Sell to open"))</f>
        <v/>
      </c>
      <c r="F91" s="13"/>
      <c r="G91" s="7"/>
      <c r="H91" s="14"/>
      <c r="I91" s="13"/>
      <c r="J91" s="13"/>
      <c r="K91" s="13"/>
      <c r="L91" s="32"/>
      <c r="M91" s="7"/>
      <c r="N91" s="13"/>
      <c r="O91" s="15" t="str">
        <f aca="false">IF($C91="","",IF($E91="Sell to open",1,-1)*$I91*$E$2*$H91)</f>
        <v/>
      </c>
      <c r="P91" s="15" t="str">
        <f aca="false">IF($C91="","",IF($C91="Long call",$F91+$I91,IF($C91="Covered call",$J91-$I91,$F91-$I91)))</f>
        <v/>
      </c>
      <c r="Q91" s="16" t="str">
        <f aca="false">IF($C91="","",IF($AA91="Open",$B$2,IF($M91&lt;&gt;"",$M91,$G91))-$A91)</f>
        <v/>
      </c>
      <c r="R91" s="16" t="str">
        <f aca="false">IF($C91="","",IF($AA91="Open",MAX($G91-$B$2,0),""))</f>
        <v/>
      </c>
      <c r="S91" s="15" t="str">
        <f aca="false">IF(OR($C91="",$AA91="Open"),"",IF($L91="Closed",-IF($E91="Sell to open",1,-1)*$N91*$E$2*$H91,0))</f>
        <v/>
      </c>
      <c r="T91" s="15" t="str">
        <f aca="false">IF(OR($C91="",$AA91="Open"),"",$O91+$S91-$K91)</f>
        <v/>
      </c>
      <c r="U91" s="15" t="str">
        <f aca="false">IF(OR($C91="",$AA91="Open"),"",IF(AND($C91="Covered call",$L91="Assigned"),($F91-$J91)*$E$2*$H91,0))</f>
        <v/>
      </c>
      <c r="V91" s="15" t="str">
        <f aca="false">IF(OR($C91="",$AA91="Open"),"",$T91+$U91)</f>
        <v/>
      </c>
      <c r="W91" s="15" t="str">
        <f aca="false">IF($C91="","",IF(OR($C91="Long call",$C91="Long put"),$I91*$E$2*$H91,(IF($C91="Covered call",$J91,$F91)-$I91)*$E$2*$H91))</f>
        <v/>
      </c>
      <c r="X91" s="17" t="str">
        <f aca="false">IF(OR($C91="",$AA91="Open"),"",IF($W91&gt;0,$V91/$W91,""))</f>
        <v/>
      </c>
      <c r="Y91" s="17" t="str">
        <f aca="false">IF(OR($C91="",$AA91="Open"),"",IF($W91&gt;0,$X91*365/MAX($Q91,1),""))</f>
        <v/>
      </c>
      <c r="Z91" s="18" t="str">
        <f aca="false">IF(OR($C91="",$AA91="Open"),"",IF($M91&lt;&gt;"",$M91,$G91))</f>
        <v/>
      </c>
      <c r="AA91" s="12" t="str">
        <f aca="false">IF($C91="","",IF(OR($L91="Open",$L91=""),"Open","Realized"))</f>
        <v/>
      </c>
    </row>
    <row r="92" customFormat="false" ht="15" hidden="false" customHeight="false" outlineLevel="0" collapsed="false">
      <c r="A92" s="7"/>
      <c r="B92" s="9"/>
      <c r="C92" s="32"/>
      <c r="D92" s="12" t="str">
        <f aca="false">IF($C92="","",IF(OR($C92="Long call",$C92="Covered call"),"Call","Put"))</f>
        <v/>
      </c>
      <c r="E92" s="12" t="str">
        <f aca="false">IF($C92="","",IF(OR($C92="Long call",$C92="Long put"),"Buy to open","Sell to open"))</f>
        <v/>
      </c>
      <c r="F92" s="13"/>
      <c r="G92" s="7"/>
      <c r="H92" s="14"/>
      <c r="I92" s="13"/>
      <c r="J92" s="13"/>
      <c r="K92" s="13"/>
      <c r="L92" s="32"/>
      <c r="M92" s="7"/>
      <c r="N92" s="13"/>
      <c r="O92" s="15" t="str">
        <f aca="false">IF($C92="","",IF($E92="Sell to open",1,-1)*$I92*$E$2*$H92)</f>
        <v/>
      </c>
      <c r="P92" s="15" t="str">
        <f aca="false">IF($C92="","",IF($C92="Long call",$F92+$I92,IF($C92="Covered call",$J92-$I92,$F92-$I92)))</f>
        <v/>
      </c>
      <c r="Q92" s="16" t="str">
        <f aca="false">IF($C92="","",IF($AA92="Open",$B$2,IF($M92&lt;&gt;"",$M92,$G92))-$A92)</f>
        <v/>
      </c>
      <c r="R92" s="16" t="str">
        <f aca="false">IF($C92="","",IF($AA92="Open",MAX($G92-$B$2,0),""))</f>
        <v/>
      </c>
      <c r="S92" s="15" t="str">
        <f aca="false">IF(OR($C92="",$AA92="Open"),"",IF($L92="Closed",-IF($E92="Sell to open",1,-1)*$N92*$E$2*$H92,0))</f>
        <v/>
      </c>
      <c r="T92" s="15" t="str">
        <f aca="false">IF(OR($C92="",$AA92="Open"),"",$O92+$S92-$K92)</f>
        <v/>
      </c>
      <c r="U92" s="15" t="str">
        <f aca="false">IF(OR($C92="",$AA92="Open"),"",IF(AND($C92="Covered call",$L92="Assigned"),($F92-$J92)*$E$2*$H92,0))</f>
        <v/>
      </c>
      <c r="V92" s="15" t="str">
        <f aca="false">IF(OR($C92="",$AA92="Open"),"",$T92+$U92)</f>
        <v/>
      </c>
      <c r="W92" s="15" t="str">
        <f aca="false">IF($C92="","",IF(OR($C92="Long call",$C92="Long put"),$I92*$E$2*$H92,(IF($C92="Covered call",$J92,$F92)-$I92)*$E$2*$H92))</f>
        <v/>
      </c>
      <c r="X92" s="17" t="str">
        <f aca="false">IF(OR($C92="",$AA92="Open"),"",IF($W92&gt;0,$V92/$W92,""))</f>
        <v/>
      </c>
      <c r="Y92" s="17" t="str">
        <f aca="false">IF(OR($C92="",$AA92="Open"),"",IF($W92&gt;0,$X92*365/MAX($Q92,1),""))</f>
        <v/>
      </c>
      <c r="Z92" s="18" t="str">
        <f aca="false">IF(OR($C92="",$AA92="Open"),"",IF($M92&lt;&gt;"",$M92,$G92))</f>
        <v/>
      </c>
      <c r="AA92" s="12" t="str">
        <f aca="false">IF($C92="","",IF(OR($L92="Open",$L92=""),"Open","Realized"))</f>
        <v/>
      </c>
    </row>
    <row r="93" customFormat="false" ht="15" hidden="false" customHeight="false" outlineLevel="0" collapsed="false">
      <c r="A93" s="7"/>
      <c r="B93" s="9"/>
      <c r="C93" s="32"/>
      <c r="D93" s="12" t="str">
        <f aca="false">IF($C93="","",IF(OR($C93="Long call",$C93="Covered call"),"Call","Put"))</f>
        <v/>
      </c>
      <c r="E93" s="12" t="str">
        <f aca="false">IF($C93="","",IF(OR($C93="Long call",$C93="Long put"),"Buy to open","Sell to open"))</f>
        <v/>
      </c>
      <c r="F93" s="13"/>
      <c r="G93" s="7"/>
      <c r="H93" s="14"/>
      <c r="I93" s="13"/>
      <c r="J93" s="13"/>
      <c r="K93" s="13"/>
      <c r="L93" s="32"/>
      <c r="M93" s="7"/>
      <c r="N93" s="13"/>
      <c r="O93" s="15" t="str">
        <f aca="false">IF($C93="","",IF($E93="Sell to open",1,-1)*$I93*$E$2*$H93)</f>
        <v/>
      </c>
      <c r="P93" s="15" t="str">
        <f aca="false">IF($C93="","",IF($C93="Long call",$F93+$I93,IF($C93="Covered call",$J93-$I93,$F93-$I93)))</f>
        <v/>
      </c>
      <c r="Q93" s="16" t="str">
        <f aca="false">IF($C93="","",IF($AA93="Open",$B$2,IF($M93&lt;&gt;"",$M93,$G93))-$A93)</f>
        <v/>
      </c>
      <c r="R93" s="16" t="str">
        <f aca="false">IF($C93="","",IF($AA93="Open",MAX($G93-$B$2,0),""))</f>
        <v/>
      </c>
      <c r="S93" s="15" t="str">
        <f aca="false">IF(OR($C93="",$AA93="Open"),"",IF($L93="Closed",-IF($E93="Sell to open",1,-1)*$N93*$E$2*$H93,0))</f>
        <v/>
      </c>
      <c r="T93" s="15" t="str">
        <f aca="false">IF(OR($C93="",$AA93="Open"),"",$O93+$S93-$K93)</f>
        <v/>
      </c>
      <c r="U93" s="15" t="str">
        <f aca="false">IF(OR($C93="",$AA93="Open"),"",IF(AND($C93="Covered call",$L93="Assigned"),($F93-$J93)*$E$2*$H93,0))</f>
        <v/>
      </c>
      <c r="V93" s="15" t="str">
        <f aca="false">IF(OR($C93="",$AA93="Open"),"",$T93+$U93)</f>
        <v/>
      </c>
      <c r="W93" s="15" t="str">
        <f aca="false">IF($C93="","",IF(OR($C93="Long call",$C93="Long put"),$I93*$E$2*$H93,(IF($C93="Covered call",$J93,$F93)-$I93)*$E$2*$H93))</f>
        <v/>
      </c>
      <c r="X93" s="17" t="str">
        <f aca="false">IF(OR($C93="",$AA93="Open"),"",IF($W93&gt;0,$V93/$W93,""))</f>
        <v/>
      </c>
      <c r="Y93" s="17" t="str">
        <f aca="false">IF(OR($C93="",$AA93="Open"),"",IF($W93&gt;0,$X93*365/MAX($Q93,1),""))</f>
        <v/>
      </c>
      <c r="Z93" s="18" t="str">
        <f aca="false">IF(OR($C93="",$AA93="Open"),"",IF($M93&lt;&gt;"",$M93,$G93))</f>
        <v/>
      </c>
      <c r="AA93" s="12" t="str">
        <f aca="false">IF($C93="","",IF(OR($L93="Open",$L93=""),"Open","Realized"))</f>
        <v/>
      </c>
    </row>
    <row r="94" customFormat="false" ht="15" hidden="false" customHeight="false" outlineLevel="0" collapsed="false">
      <c r="A94" s="7"/>
      <c r="B94" s="9"/>
      <c r="C94" s="32"/>
      <c r="D94" s="12" t="str">
        <f aca="false">IF($C94="","",IF(OR($C94="Long call",$C94="Covered call"),"Call","Put"))</f>
        <v/>
      </c>
      <c r="E94" s="12" t="str">
        <f aca="false">IF($C94="","",IF(OR($C94="Long call",$C94="Long put"),"Buy to open","Sell to open"))</f>
        <v/>
      </c>
      <c r="F94" s="13"/>
      <c r="G94" s="7"/>
      <c r="H94" s="14"/>
      <c r="I94" s="13"/>
      <c r="J94" s="13"/>
      <c r="K94" s="13"/>
      <c r="L94" s="32"/>
      <c r="M94" s="7"/>
      <c r="N94" s="13"/>
      <c r="O94" s="15" t="str">
        <f aca="false">IF($C94="","",IF($E94="Sell to open",1,-1)*$I94*$E$2*$H94)</f>
        <v/>
      </c>
      <c r="P94" s="15" t="str">
        <f aca="false">IF($C94="","",IF($C94="Long call",$F94+$I94,IF($C94="Covered call",$J94-$I94,$F94-$I94)))</f>
        <v/>
      </c>
      <c r="Q94" s="16" t="str">
        <f aca="false">IF($C94="","",IF($AA94="Open",$B$2,IF($M94&lt;&gt;"",$M94,$G94))-$A94)</f>
        <v/>
      </c>
      <c r="R94" s="16" t="str">
        <f aca="false">IF($C94="","",IF($AA94="Open",MAX($G94-$B$2,0),""))</f>
        <v/>
      </c>
      <c r="S94" s="15" t="str">
        <f aca="false">IF(OR($C94="",$AA94="Open"),"",IF($L94="Closed",-IF($E94="Sell to open",1,-1)*$N94*$E$2*$H94,0))</f>
        <v/>
      </c>
      <c r="T94" s="15" t="str">
        <f aca="false">IF(OR($C94="",$AA94="Open"),"",$O94+$S94-$K94)</f>
        <v/>
      </c>
      <c r="U94" s="15" t="str">
        <f aca="false">IF(OR($C94="",$AA94="Open"),"",IF(AND($C94="Covered call",$L94="Assigned"),($F94-$J94)*$E$2*$H94,0))</f>
        <v/>
      </c>
      <c r="V94" s="15" t="str">
        <f aca="false">IF(OR($C94="",$AA94="Open"),"",$T94+$U94)</f>
        <v/>
      </c>
      <c r="W94" s="15" t="str">
        <f aca="false">IF($C94="","",IF(OR($C94="Long call",$C94="Long put"),$I94*$E$2*$H94,(IF($C94="Covered call",$J94,$F94)-$I94)*$E$2*$H94))</f>
        <v/>
      </c>
      <c r="X94" s="17" t="str">
        <f aca="false">IF(OR($C94="",$AA94="Open"),"",IF($W94&gt;0,$V94/$W94,""))</f>
        <v/>
      </c>
      <c r="Y94" s="17" t="str">
        <f aca="false">IF(OR($C94="",$AA94="Open"),"",IF($W94&gt;0,$X94*365/MAX($Q94,1),""))</f>
        <v/>
      </c>
      <c r="Z94" s="18" t="str">
        <f aca="false">IF(OR($C94="",$AA94="Open"),"",IF($M94&lt;&gt;"",$M94,$G94))</f>
        <v/>
      </c>
      <c r="AA94" s="12" t="str">
        <f aca="false">IF($C94="","",IF(OR($L94="Open",$L94=""),"Open","Realized"))</f>
        <v/>
      </c>
    </row>
    <row r="95" customFormat="false" ht="15" hidden="false" customHeight="false" outlineLevel="0" collapsed="false">
      <c r="A95" s="7"/>
      <c r="B95" s="9"/>
      <c r="C95" s="32"/>
      <c r="D95" s="12" t="str">
        <f aca="false">IF($C95="","",IF(OR($C95="Long call",$C95="Covered call"),"Call","Put"))</f>
        <v/>
      </c>
      <c r="E95" s="12" t="str">
        <f aca="false">IF($C95="","",IF(OR($C95="Long call",$C95="Long put"),"Buy to open","Sell to open"))</f>
        <v/>
      </c>
      <c r="F95" s="13"/>
      <c r="G95" s="7"/>
      <c r="H95" s="14"/>
      <c r="I95" s="13"/>
      <c r="J95" s="13"/>
      <c r="K95" s="13"/>
      <c r="L95" s="32"/>
      <c r="M95" s="7"/>
      <c r="N95" s="13"/>
      <c r="O95" s="15" t="str">
        <f aca="false">IF($C95="","",IF($E95="Sell to open",1,-1)*$I95*$E$2*$H95)</f>
        <v/>
      </c>
      <c r="P95" s="15" t="str">
        <f aca="false">IF($C95="","",IF($C95="Long call",$F95+$I95,IF($C95="Covered call",$J95-$I95,$F95-$I95)))</f>
        <v/>
      </c>
      <c r="Q95" s="16" t="str">
        <f aca="false">IF($C95="","",IF($AA95="Open",$B$2,IF($M95&lt;&gt;"",$M95,$G95))-$A95)</f>
        <v/>
      </c>
      <c r="R95" s="16" t="str">
        <f aca="false">IF($C95="","",IF($AA95="Open",MAX($G95-$B$2,0),""))</f>
        <v/>
      </c>
      <c r="S95" s="15" t="str">
        <f aca="false">IF(OR($C95="",$AA95="Open"),"",IF($L95="Closed",-IF($E95="Sell to open",1,-1)*$N95*$E$2*$H95,0))</f>
        <v/>
      </c>
      <c r="T95" s="15" t="str">
        <f aca="false">IF(OR($C95="",$AA95="Open"),"",$O95+$S95-$K95)</f>
        <v/>
      </c>
      <c r="U95" s="15" t="str">
        <f aca="false">IF(OR($C95="",$AA95="Open"),"",IF(AND($C95="Covered call",$L95="Assigned"),($F95-$J95)*$E$2*$H95,0))</f>
        <v/>
      </c>
      <c r="V95" s="15" t="str">
        <f aca="false">IF(OR($C95="",$AA95="Open"),"",$T95+$U95)</f>
        <v/>
      </c>
      <c r="W95" s="15" t="str">
        <f aca="false">IF($C95="","",IF(OR($C95="Long call",$C95="Long put"),$I95*$E$2*$H95,(IF($C95="Covered call",$J95,$F95)-$I95)*$E$2*$H95))</f>
        <v/>
      </c>
      <c r="X95" s="17" t="str">
        <f aca="false">IF(OR($C95="",$AA95="Open"),"",IF($W95&gt;0,$V95/$W95,""))</f>
        <v/>
      </c>
      <c r="Y95" s="17" t="str">
        <f aca="false">IF(OR($C95="",$AA95="Open"),"",IF($W95&gt;0,$X95*365/MAX($Q95,1),""))</f>
        <v/>
      </c>
      <c r="Z95" s="18" t="str">
        <f aca="false">IF(OR($C95="",$AA95="Open"),"",IF($M95&lt;&gt;"",$M95,$G95))</f>
        <v/>
      </c>
      <c r="AA95" s="12" t="str">
        <f aca="false">IF($C95="","",IF(OR($L95="Open",$L95=""),"Open","Realized"))</f>
        <v/>
      </c>
    </row>
    <row r="96" customFormat="false" ht="15" hidden="false" customHeight="false" outlineLevel="0" collapsed="false">
      <c r="A96" s="7"/>
      <c r="B96" s="9"/>
      <c r="C96" s="32"/>
      <c r="D96" s="12" t="str">
        <f aca="false">IF($C96="","",IF(OR($C96="Long call",$C96="Covered call"),"Call","Put"))</f>
        <v/>
      </c>
      <c r="E96" s="12" t="str">
        <f aca="false">IF($C96="","",IF(OR($C96="Long call",$C96="Long put"),"Buy to open","Sell to open"))</f>
        <v/>
      </c>
      <c r="F96" s="13"/>
      <c r="G96" s="7"/>
      <c r="H96" s="14"/>
      <c r="I96" s="13"/>
      <c r="J96" s="13"/>
      <c r="K96" s="13"/>
      <c r="L96" s="32"/>
      <c r="M96" s="7"/>
      <c r="N96" s="13"/>
      <c r="O96" s="15" t="str">
        <f aca="false">IF($C96="","",IF($E96="Sell to open",1,-1)*$I96*$E$2*$H96)</f>
        <v/>
      </c>
      <c r="P96" s="15" t="str">
        <f aca="false">IF($C96="","",IF($C96="Long call",$F96+$I96,IF($C96="Covered call",$J96-$I96,$F96-$I96)))</f>
        <v/>
      </c>
      <c r="Q96" s="16" t="str">
        <f aca="false">IF($C96="","",IF($AA96="Open",$B$2,IF($M96&lt;&gt;"",$M96,$G96))-$A96)</f>
        <v/>
      </c>
      <c r="R96" s="16" t="str">
        <f aca="false">IF($C96="","",IF($AA96="Open",MAX($G96-$B$2,0),""))</f>
        <v/>
      </c>
      <c r="S96" s="15" t="str">
        <f aca="false">IF(OR($C96="",$AA96="Open"),"",IF($L96="Closed",-IF($E96="Sell to open",1,-1)*$N96*$E$2*$H96,0))</f>
        <v/>
      </c>
      <c r="T96" s="15" t="str">
        <f aca="false">IF(OR($C96="",$AA96="Open"),"",$O96+$S96-$K96)</f>
        <v/>
      </c>
      <c r="U96" s="15" t="str">
        <f aca="false">IF(OR($C96="",$AA96="Open"),"",IF(AND($C96="Covered call",$L96="Assigned"),($F96-$J96)*$E$2*$H96,0))</f>
        <v/>
      </c>
      <c r="V96" s="15" t="str">
        <f aca="false">IF(OR($C96="",$AA96="Open"),"",$T96+$U96)</f>
        <v/>
      </c>
      <c r="W96" s="15" t="str">
        <f aca="false">IF($C96="","",IF(OR($C96="Long call",$C96="Long put"),$I96*$E$2*$H96,(IF($C96="Covered call",$J96,$F96)-$I96)*$E$2*$H96))</f>
        <v/>
      </c>
      <c r="X96" s="17" t="str">
        <f aca="false">IF(OR($C96="",$AA96="Open"),"",IF($W96&gt;0,$V96/$W96,""))</f>
        <v/>
      </c>
      <c r="Y96" s="17" t="str">
        <f aca="false">IF(OR($C96="",$AA96="Open"),"",IF($W96&gt;0,$X96*365/MAX($Q96,1),""))</f>
        <v/>
      </c>
      <c r="Z96" s="18" t="str">
        <f aca="false">IF(OR($C96="",$AA96="Open"),"",IF($M96&lt;&gt;"",$M96,$G96))</f>
        <v/>
      </c>
      <c r="AA96" s="12" t="str">
        <f aca="false">IF($C96="","",IF(OR($L96="Open",$L96=""),"Open","Realized"))</f>
        <v/>
      </c>
    </row>
    <row r="97" customFormat="false" ht="15" hidden="false" customHeight="false" outlineLevel="0" collapsed="false">
      <c r="A97" s="7"/>
      <c r="B97" s="9"/>
      <c r="C97" s="32"/>
      <c r="D97" s="12" t="str">
        <f aca="false">IF($C97="","",IF(OR($C97="Long call",$C97="Covered call"),"Call","Put"))</f>
        <v/>
      </c>
      <c r="E97" s="12" t="str">
        <f aca="false">IF($C97="","",IF(OR($C97="Long call",$C97="Long put"),"Buy to open","Sell to open"))</f>
        <v/>
      </c>
      <c r="F97" s="13"/>
      <c r="G97" s="7"/>
      <c r="H97" s="14"/>
      <c r="I97" s="13"/>
      <c r="J97" s="13"/>
      <c r="K97" s="13"/>
      <c r="L97" s="32"/>
      <c r="M97" s="7"/>
      <c r="N97" s="13"/>
      <c r="O97" s="15" t="str">
        <f aca="false">IF($C97="","",IF($E97="Sell to open",1,-1)*$I97*$E$2*$H97)</f>
        <v/>
      </c>
      <c r="P97" s="15" t="str">
        <f aca="false">IF($C97="","",IF($C97="Long call",$F97+$I97,IF($C97="Covered call",$J97-$I97,$F97-$I97)))</f>
        <v/>
      </c>
      <c r="Q97" s="16" t="str">
        <f aca="false">IF($C97="","",IF($AA97="Open",$B$2,IF($M97&lt;&gt;"",$M97,$G97))-$A97)</f>
        <v/>
      </c>
      <c r="R97" s="16" t="str">
        <f aca="false">IF($C97="","",IF($AA97="Open",MAX($G97-$B$2,0),""))</f>
        <v/>
      </c>
      <c r="S97" s="15" t="str">
        <f aca="false">IF(OR($C97="",$AA97="Open"),"",IF($L97="Closed",-IF($E97="Sell to open",1,-1)*$N97*$E$2*$H97,0))</f>
        <v/>
      </c>
      <c r="T97" s="15" t="str">
        <f aca="false">IF(OR($C97="",$AA97="Open"),"",$O97+$S97-$K97)</f>
        <v/>
      </c>
      <c r="U97" s="15" t="str">
        <f aca="false">IF(OR($C97="",$AA97="Open"),"",IF(AND($C97="Covered call",$L97="Assigned"),($F97-$J97)*$E$2*$H97,0))</f>
        <v/>
      </c>
      <c r="V97" s="15" t="str">
        <f aca="false">IF(OR($C97="",$AA97="Open"),"",$T97+$U97)</f>
        <v/>
      </c>
      <c r="W97" s="15" t="str">
        <f aca="false">IF($C97="","",IF(OR($C97="Long call",$C97="Long put"),$I97*$E$2*$H97,(IF($C97="Covered call",$J97,$F97)-$I97)*$E$2*$H97))</f>
        <v/>
      </c>
      <c r="X97" s="17" t="str">
        <f aca="false">IF(OR($C97="",$AA97="Open"),"",IF($W97&gt;0,$V97/$W97,""))</f>
        <v/>
      </c>
      <c r="Y97" s="17" t="str">
        <f aca="false">IF(OR($C97="",$AA97="Open"),"",IF($W97&gt;0,$X97*365/MAX($Q97,1),""))</f>
        <v/>
      </c>
      <c r="Z97" s="18" t="str">
        <f aca="false">IF(OR($C97="",$AA97="Open"),"",IF($M97&lt;&gt;"",$M97,$G97))</f>
        <v/>
      </c>
      <c r="AA97" s="12" t="str">
        <f aca="false">IF($C97="","",IF(OR($L97="Open",$L97=""),"Open","Realized"))</f>
        <v/>
      </c>
    </row>
    <row r="98" customFormat="false" ht="15" hidden="false" customHeight="false" outlineLevel="0" collapsed="false">
      <c r="A98" s="7"/>
      <c r="B98" s="9"/>
      <c r="C98" s="32"/>
      <c r="D98" s="12" t="str">
        <f aca="false">IF($C98="","",IF(OR($C98="Long call",$C98="Covered call"),"Call","Put"))</f>
        <v/>
      </c>
      <c r="E98" s="12" t="str">
        <f aca="false">IF($C98="","",IF(OR($C98="Long call",$C98="Long put"),"Buy to open","Sell to open"))</f>
        <v/>
      </c>
      <c r="F98" s="13"/>
      <c r="G98" s="7"/>
      <c r="H98" s="14"/>
      <c r="I98" s="13"/>
      <c r="J98" s="13"/>
      <c r="K98" s="13"/>
      <c r="L98" s="32"/>
      <c r="M98" s="7"/>
      <c r="N98" s="13"/>
      <c r="O98" s="15" t="str">
        <f aca="false">IF($C98="","",IF($E98="Sell to open",1,-1)*$I98*$E$2*$H98)</f>
        <v/>
      </c>
      <c r="P98" s="15" t="str">
        <f aca="false">IF($C98="","",IF($C98="Long call",$F98+$I98,IF($C98="Covered call",$J98-$I98,$F98-$I98)))</f>
        <v/>
      </c>
      <c r="Q98" s="16" t="str">
        <f aca="false">IF($C98="","",IF($AA98="Open",$B$2,IF($M98&lt;&gt;"",$M98,$G98))-$A98)</f>
        <v/>
      </c>
      <c r="R98" s="16" t="str">
        <f aca="false">IF($C98="","",IF($AA98="Open",MAX($G98-$B$2,0),""))</f>
        <v/>
      </c>
      <c r="S98" s="15" t="str">
        <f aca="false">IF(OR($C98="",$AA98="Open"),"",IF($L98="Closed",-IF($E98="Sell to open",1,-1)*$N98*$E$2*$H98,0))</f>
        <v/>
      </c>
      <c r="T98" s="15" t="str">
        <f aca="false">IF(OR($C98="",$AA98="Open"),"",$O98+$S98-$K98)</f>
        <v/>
      </c>
      <c r="U98" s="15" t="str">
        <f aca="false">IF(OR($C98="",$AA98="Open"),"",IF(AND($C98="Covered call",$L98="Assigned"),($F98-$J98)*$E$2*$H98,0))</f>
        <v/>
      </c>
      <c r="V98" s="15" t="str">
        <f aca="false">IF(OR($C98="",$AA98="Open"),"",$T98+$U98)</f>
        <v/>
      </c>
      <c r="W98" s="15" t="str">
        <f aca="false">IF($C98="","",IF(OR($C98="Long call",$C98="Long put"),$I98*$E$2*$H98,(IF($C98="Covered call",$J98,$F98)-$I98)*$E$2*$H98))</f>
        <v/>
      </c>
      <c r="X98" s="17" t="str">
        <f aca="false">IF(OR($C98="",$AA98="Open"),"",IF($W98&gt;0,$V98/$W98,""))</f>
        <v/>
      </c>
      <c r="Y98" s="17" t="str">
        <f aca="false">IF(OR($C98="",$AA98="Open"),"",IF($W98&gt;0,$X98*365/MAX($Q98,1),""))</f>
        <v/>
      </c>
      <c r="Z98" s="18" t="str">
        <f aca="false">IF(OR($C98="",$AA98="Open"),"",IF($M98&lt;&gt;"",$M98,$G98))</f>
        <v/>
      </c>
      <c r="AA98" s="12" t="str">
        <f aca="false">IF($C98="","",IF(OR($L98="Open",$L98=""),"Open","Realized"))</f>
        <v/>
      </c>
    </row>
    <row r="99" customFormat="false" ht="15" hidden="false" customHeight="false" outlineLevel="0" collapsed="false">
      <c r="A99" s="7"/>
      <c r="B99" s="9"/>
      <c r="C99" s="32"/>
      <c r="D99" s="12" t="str">
        <f aca="false">IF($C99="","",IF(OR($C99="Long call",$C99="Covered call"),"Call","Put"))</f>
        <v/>
      </c>
      <c r="E99" s="12" t="str">
        <f aca="false">IF($C99="","",IF(OR($C99="Long call",$C99="Long put"),"Buy to open","Sell to open"))</f>
        <v/>
      </c>
      <c r="F99" s="13"/>
      <c r="G99" s="7"/>
      <c r="H99" s="14"/>
      <c r="I99" s="13"/>
      <c r="J99" s="13"/>
      <c r="K99" s="13"/>
      <c r="L99" s="32"/>
      <c r="M99" s="7"/>
      <c r="N99" s="13"/>
      <c r="O99" s="15" t="str">
        <f aca="false">IF($C99="","",IF($E99="Sell to open",1,-1)*$I99*$E$2*$H99)</f>
        <v/>
      </c>
      <c r="P99" s="15" t="str">
        <f aca="false">IF($C99="","",IF($C99="Long call",$F99+$I99,IF($C99="Covered call",$J99-$I99,$F99-$I99)))</f>
        <v/>
      </c>
      <c r="Q99" s="16" t="str">
        <f aca="false">IF($C99="","",IF($AA99="Open",$B$2,IF($M99&lt;&gt;"",$M99,$G99))-$A99)</f>
        <v/>
      </c>
      <c r="R99" s="16" t="str">
        <f aca="false">IF($C99="","",IF($AA99="Open",MAX($G99-$B$2,0),""))</f>
        <v/>
      </c>
      <c r="S99" s="15" t="str">
        <f aca="false">IF(OR($C99="",$AA99="Open"),"",IF($L99="Closed",-IF($E99="Sell to open",1,-1)*$N99*$E$2*$H99,0))</f>
        <v/>
      </c>
      <c r="T99" s="15" t="str">
        <f aca="false">IF(OR($C99="",$AA99="Open"),"",$O99+$S99-$K99)</f>
        <v/>
      </c>
      <c r="U99" s="15" t="str">
        <f aca="false">IF(OR($C99="",$AA99="Open"),"",IF(AND($C99="Covered call",$L99="Assigned"),($F99-$J99)*$E$2*$H99,0))</f>
        <v/>
      </c>
      <c r="V99" s="15" t="str">
        <f aca="false">IF(OR($C99="",$AA99="Open"),"",$T99+$U99)</f>
        <v/>
      </c>
      <c r="W99" s="15" t="str">
        <f aca="false">IF($C99="","",IF(OR($C99="Long call",$C99="Long put"),$I99*$E$2*$H99,(IF($C99="Covered call",$J99,$F99)-$I99)*$E$2*$H99))</f>
        <v/>
      </c>
      <c r="X99" s="17" t="str">
        <f aca="false">IF(OR($C99="",$AA99="Open"),"",IF($W99&gt;0,$V99/$W99,""))</f>
        <v/>
      </c>
      <c r="Y99" s="17" t="str">
        <f aca="false">IF(OR($C99="",$AA99="Open"),"",IF($W99&gt;0,$X99*365/MAX($Q99,1),""))</f>
        <v/>
      </c>
      <c r="Z99" s="18" t="str">
        <f aca="false">IF(OR($C99="",$AA99="Open"),"",IF($M99&lt;&gt;"",$M99,$G99))</f>
        <v/>
      </c>
      <c r="AA99" s="12" t="str">
        <f aca="false">IF($C99="","",IF(OR($L99="Open",$L99=""),"Open","Realized"))</f>
        <v/>
      </c>
    </row>
    <row r="100" customFormat="false" ht="15" hidden="false" customHeight="false" outlineLevel="0" collapsed="false">
      <c r="A100" s="7"/>
      <c r="B100" s="9"/>
      <c r="C100" s="32"/>
      <c r="D100" s="12" t="str">
        <f aca="false">IF($C100="","",IF(OR($C100="Long call",$C100="Covered call"),"Call","Put"))</f>
        <v/>
      </c>
      <c r="E100" s="12" t="str">
        <f aca="false">IF($C100="","",IF(OR($C100="Long call",$C100="Long put"),"Buy to open","Sell to open"))</f>
        <v/>
      </c>
      <c r="F100" s="13"/>
      <c r="G100" s="7"/>
      <c r="H100" s="14"/>
      <c r="I100" s="13"/>
      <c r="J100" s="13"/>
      <c r="K100" s="13"/>
      <c r="L100" s="32"/>
      <c r="M100" s="7"/>
      <c r="N100" s="13"/>
      <c r="O100" s="15" t="str">
        <f aca="false">IF($C100="","",IF($E100="Sell to open",1,-1)*$I100*$E$2*$H100)</f>
        <v/>
      </c>
      <c r="P100" s="15" t="str">
        <f aca="false">IF($C100="","",IF($C100="Long call",$F100+$I100,IF($C100="Covered call",$J100-$I100,$F100-$I100)))</f>
        <v/>
      </c>
      <c r="Q100" s="16" t="str">
        <f aca="false">IF($C100="","",IF($AA100="Open",$B$2,IF($M100&lt;&gt;"",$M100,$G100))-$A100)</f>
        <v/>
      </c>
      <c r="R100" s="16" t="str">
        <f aca="false">IF($C100="","",IF($AA100="Open",MAX($G100-$B$2,0),""))</f>
        <v/>
      </c>
      <c r="S100" s="15" t="str">
        <f aca="false">IF(OR($C100="",$AA100="Open"),"",IF($L100="Closed",-IF($E100="Sell to open",1,-1)*$N100*$E$2*$H100,0))</f>
        <v/>
      </c>
      <c r="T100" s="15" t="str">
        <f aca="false">IF(OR($C100="",$AA100="Open"),"",$O100+$S100-$K100)</f>
        <v/>
      </c>
      <c r="U100" s="15" t="str">
        <f aca="false">IF(OR($C100="",$AA100="Open"),"",IF(AND($C100="Covered call",$L100="Assigned"),($F100-$J100)*$E$2*$H100,0))</f>
        <v/>
      </c>
      <c r="V100" s="15" t="str">
        <f aca="false">IF(OR($C100="",$AA100="Open"),"",$T100+$U100)</f>
        <v/>
      </c>
      <c r="W100" s="15" t="str">
        <f aca="false">IF($C100="","",IF(OR($C100="Long call",$C100="Long put"),$I100*$E$2*$H100,(IF($C100="Covered call",$J100,$F100)-$I100)*$E$2*$H100))</f>
        <v/>
      </c>
      <c r="X100" s="17" t="str">
        <f aca="false">IF(OR($C100="",$AA100="Open"),"",IF($W100&gt;0,$V100/$W100,""))</f>
        <v/>
      </c>
      <c r="Y100" s="17" t="str">
        <f aca="false">IF(OR($C100="",$AA100="Open"),"",IF($W100&gt;0,$X100*365/MAX($Q100,1),""))</f>
        <v/>
      </c>
      <c r="Z100" s="18" t="str">
        <f aca="false">IF(OR($C100="",$AA100="Open"),"",IF($M100&lt;&gt;"",$M100,$G100))</f>
        <v/>
      </c>
      <c r="AA100" s="12" t="str">
        <f aca="false">IF($C100="","",IF(OR($L100="Open",$L100=""),"Open","Realized"))</f>
        <v/>
      </c>
    </row>
    <row r="101" customFormat="false" ht="15" hidden="false" customHeight="false" outlineLevel="0" collapsed="false">
      <c r="A101" s="7"/>
      <c r="B101" s="9"/>
      <c r="C101" s="32"/>
      <c r="D101" s="12" t="str">
        <f aca="false">IF($C101="","",IF(OR($C101="Long call",$C101="Covered call"),"Call","Put"))</f>
        <v/>
      </c>
      <c r="E101" s="12" t="str">
        <f aca="false">IF($C101="","",IF(OR($C101="Long call",$C101="Long put"),"Buy to open","Sell to open"))</f>
        <v/>
      </c>
      <c r="F101" s="13"/>
      <c r="G101" s="7"/>
      <c r="H101" s="14"/>
      <c r="I101" s="13"/>
      <c r="J101" s="13"/>
      <c r="K101" s="13"/>
      <c r="L101" s="32"/>
      <c r="M101" s="7"/>
      <c r="N101" s="13"/>
      <c r="O101" s="15" t="str">
        <f aca="false">IF($C101="","",IF($E101="Sell to open",1,-1)*$I101*$E$2*$H101)</f>
        <v/>
      </c>
      <c r="P101" s="15" t="str">
        <f aca="false">IF($C101="","",IF($C101="Long call",$F101+$I101,IF($C101="Covered call",$J101-$I101,$F101-$I101)))</f>
        <v/>
      </c>
      <c r="Q101" s="16" t="str">
        <f aca="false">IF($C101="","",IF($AA101="Open",$B$2,IF($M101&lt;&gt;"",$M101,$G101))-$A101)</f>
        <v/>
      </c>
      <c r="R101" s="16" t="str">
        <f aca="false">IF($C101="","",IF($AA101="Open",MAX($G101-$B$2,0),""))</f>
        <v/>
      </c>
      <c r="S101" s="15" t="str">
        <f aca="false">IF(OR($C101="",$AA101="Open"),"",IF($L101="Closed",-IF($E101="Sell to open",1,-1)*$N101*$E$2*$H101,0))</f>
        <v/>
      </c>
      <c r="T101" s="15" t="str">
        <f aca="false">IF(OR($C101="",$AA101="Open"),"",$O101+$S101-$K101)</f>
        <v/>
      </c>
      <c r="U101" s="15" t="str">
        <f aca="false">IF(OR($C101="",$AA101="Open"),"",IF(AND($C101="Covered call",$L101="Assigned"),($F101-$J101)*$E$2*$H101,0))</f>
        <v/>
      </c>
      <c r="V101" s="15" t="str">
        <f aca="false">IF(OR($C101="",$AA101="Open"),"",$T101+$U101)</f>
        <v/>
      </c>
      <c r="W101" s="15" t="str">
        <f aca="false">IF($C101="","",IF(OR($C101="Long call",$C101="Long put"),$I101*$E$2*$H101,(IF($C101="Covered call",$J101,$F101)-$I101)*$E$2*$H101))</f>
        <v/>
      </c>
      <c r="X101" s="17" t="str">
        <f aca="false">IF(OR($C101="",$AA101="Open"),"",IF($W101&gt;0,$V101/$W101,""))</f>
        <v/>
      </c>
      <c r="Y101" s="17" t="str">
        <f aca="false">IF(OR($C101="",$AA101="Open"),"",IF($W101&gt;0,$X101*365/MAX($Q101,1),""))</f>
        <v/>
      </c>
      <c r="Z101" s="18" t="str">
        <f aca="false">IF(OR($C101="",$AA101="Open"),"",IF($M101&lt;&gt;"",$M101,$G101))</f>
        <v/>
      </c>
      <c r="AA101" s="12" t="str">
        <f aca="false">IF($C101="","",IF(OR($L101="Open",$L101=""),"Open","Realized"))</f>
        <v/>
      </c>
    </row>
    <row r="102" customFormat="false" ht="15" hidden="false" customHeight="false" outlineLevel="0" collapsed="false">
      <c r="A102" s="7"/>
      <c r="B102" s="9"/>
      <c r="C102" s="32"/>
      <c r="D102" s="12" t="str">
        <f aca="false">IF($C102="","",IF(OR($C102="Long call",$C102="Covered call"),"Call","Put"))</f>
        <v/>
      </c>
      <c r="E102" s="12" t="str">
        <f aca="false">IF($C102="","",IF(OR($C102="Long call",$C102="Long put"),"Buy to open","Sell to open"))</f>
        <v/>
      </c>
      <c r="F102" s="13"/>
      <c r="G102" s="7"/>
      <c r="H102" s="14"/>
      <c r="I102" s="13"/>
      <c r="J102" s="13"/>
      <c r="K102" s="13"/>
      <c r="L102" s="32"/>
      <c r="M102" s="7"/>
      <c r="N102" s="13"/>
      <c r="O102" s="15" t="str">
        <f aca="false">IF($C102="","",IF($E102="Sell to open",1,-1)*$I102*$E$2*$H102)</f>
        <v/>
      </c>
      <c r="P102" s="15" t="str">
        <f aca="false">IF($C102="","",IF($C102="Long call",$F102+$I102,IF($C102="Covered call",$J102-$I102,$F102-$I102)))</f>
        <v/>
      </c>
      <c r="Q102" s="16" t="str">
        <f aca="false">IF($C102="","",IF($AA102="Open",$B$2,IF($M102&lt;&gt;"",$M102,$G102))-$A102)</f>
        <v/>
      </c>
      <c r="R102" s="16" t="str">
        <f aca="false">IF($C102="","",IF($AA102="Open",MAX($G102-$B$2,0),""))</f>
        <v/>
      </c>
      <c r="S102" s="15" t="str">
        <f aca="false">IF(OR($C102="",$AA102="Open"),"",IF($L102="Closed",-IF($E102="Sell to open",1,-1)*$N102*$E$2*$H102,0))</f>
        <v/>
      </c>
      <c r="T102" s="15" t="str">
        <f aca="false">IF(OR($C102="",$AA102="Open"),"",$O102+$S102-$K102)</f>
        <v/>
      </c>
      <c r="U102" s="15" t="str">
        <f aca="false">IF(OR($C102="",$AA102="Open"),"",IF(AND($C102="Covered call",$L102="Assigned"),($F102-$J102)*$E$2*$H102,0))</f>
        <v/>
      </c>
      <c r="V102" s="15" t="str">
        <f aca="false">IF(OR($C102="",$AA102="Open"),"",$T102+$U102)</f>
        <v/>
      </c>
      <c r="W102" s="15" t="str">
        <f aca="false">IF($C102="","",IF(OR($C102="Long call",$C102="Long put"),$I102*$E$2*$H102,(IF($C102="Covered call",$J102,$F102)-$I102)*$E$2*$H102))</f>
        <v/>
      </c>
      <c r="X102" s="17" t="str">
        <f aca="false">IF(OR($C102="",$AA102="Open"),"",IF($W102&gt;0,$V102/$W102,""))</f>
        <v/>
      </c>
      <c r="Y102" s="17" t="str">
        <f aca="false">IF(OR($C102="",$AA102="Open"),"",IF($W102&gt;0,$X102*365/MAX($Q102,1),""))</f>
        <v/>
      </c>
      <c r="Z102" s="18" t="str">
        <f aca="false">IF(OR($C102="",$AA102="Open"),"",IF($M102&lt;&gt;"",$M102,$G102))</f>
        <v/>
      </c>
      <c r="AA102" s="12" t="str">
        <f aca="false">IF($C102="","",IF(OR($L102="Open",$L102=""),"Open","Realized"))</f>
        <v/>
      </c>
    </row>
    <row r="103" customFormat="false" ht="15" hidden="false" customHeight="false" outlineLevel="0" collapsed="false">
      <c r="A103" s="7"/>
      <c r="B103" s="9"/>
      <c r="C103" s="32"/>
      <c r="D103" s="12" t="str">
        <f aca="false">IF($C103="","",IF(OR($C103="Long call",$C103="Covered call"),"Call","Put"))</f>
        <v/>
      </c>
      <c r="E103" s="12" t="str">
        <f aca="false">IF($C103="","",IF(OR($C103="Long call",$C103="Long put"),"Buy to open","Sell to open"))</f>
        <v/>
      </c>
      <c r="F103" s="13"/>
      <c r="G103" s="7"/>
      <c r="H103" s="14"/>
      <c r="I103" s="13"/>
      <c r="J103" s="13"/>
      <c r="K103" s="13"/>
      <c r="L103" s="32"/>
      <c r="M103" s="7"/>
      <c r="N103" s="13"/>
      <c r="O103" s="15" t="str">
        <f aca="false">IF($C103="","",IF($E103="Sell to open",1,-1)*$I103*$E$2*$H103)</f>
        <v/>
      </c>
      <c r="P103" s="15" t="str">
        <f aca="false">IF($C103="","",IF($C103="Long call",$F103+$I103,IF($C103="Covered call",$J103-$I103,$F103-$I103)))</f>
        <v/>
      </c>
      <c r="Q103" s="16" t="str">
        <f aca="false">IF($C103="","",IF($AA103="Open",$B$2,IF($M103&lt;&gt;"",$M103,$G103))-$A103)</f>
        <v/>
      </c>
      <c r="R103" s="16" t="str">
        <f aca="false">IF($C103="","",IF($AA103="Open",MAX($G103-$B$2,0),""))</f>
        <v/>
      </c>
      <c r="S103" s="15" t="str">
        <f aca="false">IF(OR($C103="",$AA103="Open"),"",IF($L103="Closed",-IF($E103="Sell to open",1,-1)*$N103*$E$2*$H103,0))</f>
        <v/>
      </c>
      <c r="T103" s="15" t="str">
        <f aca="false">IF(OR($C103="",$AA103="Open"),"",$O103+$S103-$K103)</f>
        <v/>
      </c>
      <c r="U103" s="15" t="str">
        <f aca="false">IF(OR($C103="",$AA103="Open"),"",IF(AND($C103="Covered call",$L103="Assigned"),($F103-$J103)*$E$2*$H103,0))</f>
        <v/>
      </c>
      <c r="V103" s="15" t="str">
        <f aca="false">IF(OR($C103="",$AA103="Open"),"",$T103+$U103)</f>
        <v/>
      </c>
      <c r="W103" s="15" t="str">
        <f aca="false">IF($C103="","",IF(OR($C103="Long call",$C103="Long put"),$I103*$E$2*$H103,(IF($C103="Covered call",$J103,$F103)-$I103)*$E$2*$H103))</f>
        <v/>
      </c>
      <c r="X103" s="17" t="str">
        <f aca="false">IF(OR($C103="",$AA103="Open"),"",IF($W103&gt;0,$V103/$W103,""))</f>
        <v/>
      </c>
      <c r="Y103" s="17" t="str">
        <f aca="false">IF(OR($C103="",$AA103="Open"),"",IF($W103&gt;0,$X103*365/MAX($Q103,1),""))</f>
        <v/>
      </c>
      <c r="Z103" s="18" t="str">
        <f aca="false">IF(OR($C103="",$AA103="Open"),"",IF($M103&lt;&gt;"",$M103,$G103))</f>
        <v/>
      </c>
      <c r="AA103" s="12" t="str">
        <f aca="false">IF($C103="","",IF(OR($L103="Open",$L103=""),"Open","Realized"))</f>
        <v/>
      </c>
    </row>
    <row r="104" customFormat="false" ht="15" hidden="false" customHeight="false" outlineLevel="0" collapsed="false">
      <c r="A104" s="7"/>
      <c r="B104" s="9"/>
      <c r="C104" s="32"/>
      <c r="D104" s="12" t="str">
        <f aca="false">IF($C104="","",IF(OR($C104="Long call",$C104="Covered call"),"Call","Put"))</f>
        <v/>
      </c>
      <c r="E104" s="12" t="str">
        <f aca="false">IF($C104="","",IF(OR($C104="Long call",$C104="Long put"),"Buy to open","Sell to open"))</f>
        <v/>
      </c>
      <c r="F104" s="13"/>
      <c r="G104" s="7"/>
      <c r="H104" s="14"/>
      <c r="I104" s="13"/>
      <c r="J104" s="13"/>
      <c r="K104" s="13"/>
      <c r="L104" s="32"/>
      <c r="M104" s="7"/>
      <c r="N104" s="13"/>
      <c r="O104" s="15" t="str">
        <f aca="false">IF($C104="","",IF($E104="Sell to open",1,-1)*$I104*$E$2*$H104)</f>
        <v/>
      </c>
      <c r="P104" s="15" t="str">
        <f aca="false">IF($C104="","",IF($C104="Long call",$F104+$I104,IF($C104="Covered call",$J104-$I104,$F104-$I104)))</f>
        <v/>
      </c>
      <c r="Q104" s="16" t="str">
        <f aca="false">IF($C104="","",IF($AA104="Open",$B$2,IF($M104&lt;&gt;"",$M104,$G104))-$A104)</f>
        <v/>
      </c>
      <c r="R104" s="16" t="str">
        <f aca="false">IF($C104="","",IF($AA104="Open",MAX($G104-$B$2,0),""))</f>
        <v/>
      </c>
      <c r="S104" s="15" t="str">
        <f aca="false">IF(OR($C104="",$AA104="Open"),"",IF($L104="Closed",-IF($E104="Sell to open",1,-1)*$N104*$E$2*$H104,0))</f>
        <v/>
      </c>
      <c r="T104" s="15" t="str">
        <f aca="false">IF(OR($C104="",$AA104="Open"),"",$O104+$S104-$K104)</f>
        <v/>
      </c>
      <c r="U104" s="15" t="str">
        <f aca="false">IF(OR($C104="",$AA104="Open"),"",IF(AND($C104="Covered call",$L104="Assigned"),($F104-$J104)*$E$2*$H104,0))</f>
        <v/>
      </c>
      <c r="V104" s="15" t="str">
        <f aca="false">IF(OR($C104="",$AA104="Open"),"",$T104+$U104)</f>
        <v/>
      </c>
      <c r="W104" s="15" t="str">
        <f aca="false">IF($C104="","",IF(OR($C104="Long call",$C104="Long put"),$I104*$E$2*$H104,(IF($C104="Covered call",$J104,$F104)-$I104)*$E$2*$H104))</f>
        <v/>
      </c>
      <c r="X104" s="17" t="str">
        <f aca="false">IF(OR($C104="",$AA104="Open"),"",IF($W104&gt;0,$V104/$W104,""))</f>
        <v/>
      </c>
      <c r="Y104" s="17" t="str">
        <f aca="false">IF(OR($C104="",$AA104="Open"),"",IF($W104&gt;0,$X104*365/MAX($Q104,1),""))</f>
        <v/>
      </c>
      <c r="Z104" s="18" t="str">
        <f aca="false">IF(OR($C104="",$AA104="Open"),"",IF($M104&lt;&gt;"",$M104,$G104))</f>
        <v/>
      </c>
      <c r="AA104" s="12" t="str">
        <f aca="false">IF($C104="","",IF(OR($L104="Open",$L104=""),"Open","Realized"))</f>
        <v/>
      </c>
    </row>
    <row r="105" customFormat="false" ht="15" hidden="false" customHeight="false" outlineLevel="0" collapsed="false">
      <c r="A105" s="7"/>
      <c r="B105" s="9"/>
      <c r="C105" s="32"/>
      <c r="D105" s="12" t="str">
        <f aca="false">IF($C105="","",IF(OR($C105="Long call",$C105="Covered call"),"Call","Put"))</f>
        <v/>
      </c>
      <c r="E105" s="12" t="str">
        <f aca="false">IF($C105="","",IF(OR($C105="Long call",$C105="Long put"),"Buy to open","Sell to open"))</f>
        <v/>
      </c>
      <c r="F105" s="13"/>
      <c r="G105" s="7"/>
      <c r="H105" s="14"/>
      <c r="I105" s="13"/>
      <c r="J105" s="13"/>
      <c r="K105" s="13"/>
      <c r="L105" s="32"/>
      <c r="M105" s="7"/>
      <c r="N105" s="13"/>
      <c r="O105" s="15" t="str">
        <f aca="false">IF($C105="","",IF($E105="Sell to open",1,-1)*$I105*$E$2*$H105)</f>
        <v/>
      </c>
      <c r="P105" s="15" t="str">
        <f aca="false">IF($C105="","",IF($C105="Long call",$F105+$I105,IF($C105="Covered call",$J105-$I105,$F105-$I105)))</f>
        <v/>
      </c>
      <c r="Q105" s="16" t="str">
        <f aca="false">IF($C105="","",IF($AA105="Open",$B$2,IF($M105&lt;&gt;"",$M105,$G105))-$A105)</f>
        <v/>
      </c>
      <c r="R105" s="16" t="str">
        <f aca="false">IF($C105="","",IF($AA105="Open",MAX($G105-$B$2,0),""))</f>
        <v/>
      </c>
      <c r="S105" s="15" t="str">
        <f aca="false">IF(OR($C105="",$AA105="Open"),"",IF($L105="Closed",-IF($E105="Sell to open",1,-1)*$N105*$E$2*$H105,0))</f>
        <v/>
      </c>
      <c r="T105" s="15" t="str">
        <f aca="false">IF(OR($C105="",$AA105="Open"),"",$O105+$S105-$K105)</f>
        <v/>
      </c>
      <c r="U105" s="15" t="str">
        <f aca="false">IF(OR($C105="",$AA105="Open"),"",IF(AND($C105="Covered call",$L105="Assigned"),($F105-$J105)*$E$2*$H105,0))</f>
        <v/>
      </c>
      <c r="V105" s="15" t="str">
        <f aca="false">IF(OR($C105="",$AA105="Open"),"",$T105+$U105)</f>
        <v/>
      </c>
      <c r="W105" s="15" t="str">
        <f aca="false">IF($C105="","",IF(OR($C105="Long call",$C105="Long put"),$I105*$E$2*$H105,(IF($C105="Covered call",$J105,$F105)-$I105)*$E$2*$H105))</f>
        <v/>
      </c>
      <c r="X105" s="17" t="str">
        <f aca="false">IF(OR($C105="",$AA105="Open"),"",IF($W105&gt;0,$V105/$W105,""))</f>
        <v/>
      </c>
      <c r="Y105" s="17" t="str">
        <f aca="false">IF(OR($C105="",$AA105="Open"),"",IF($W105&gt;0,$X105*365/MAX($Q105,1),""))</f>
        <v/>
      </c>
      <c r="Z105" s="18" t="str">
        <f aca="false">IF(OR($C105="",$AA105="Open"),"",IF($M105&lt;&gt;"",$M105,$G105))</f>
        <v/>
      </c>
      <c r="AA105" s="12" t="str">
        <f aca="false">IF($C105="","",IF(OR($L105="Open",$L105=""),"Open","Realized"))</f>
        <v/>
      </c>
    </row>
    <row r="106" customFormat="false" ht="15" hidden="false" customHeight="false" outlineLevel="0" collapsed="false">
      <c r="A106" s="7"/>
      <c r="B106" s="9"/>
      <c r="C106" s="32"/>
      <c r="D106" s="12" t="str">
        <f aca="false">IF($C106="","",IF(OR($C106="Long call",$C106="Covered call"),"Call","Put"))</f>
        <v/>
      </c>
      <c r="E106" s="12" t="str">
        <f aca="false">IF($C106="","",IF(OR($C106="Long call",$C106="Long put"),"Buy to open","Sell to open"))</f>
        <v/>
      </c>
      <c r="F106" s="13"/>
      <c r="G106" s="7"/>
      <c r="H106" s="14"/>
      <c r="I106" s="13"/>
      <c r="J106" s="13"/>
      <c r="K106" s="13"/>
      <c r="L106" s="32"/>
      <c r="M106" s="7"/>
      <c r="N106" s="13"/>
      <c r="O106" s="15" t="str">
        <f aca="false">IF($C106="","",IF($E106="Sell to open",1,-1)*$I106*$E$2*$H106)</f>
        <v/>
      </c>
      <c r="P106" s="15" t="str">
        <f aca="false">IF($C106="","",IF($C106="Long call",$F106+$I106,IF($C106="Covered call",$J106-$I106,$F106-$I106)))</f>
        <v/>
      </c>
      <c r="Q106" s="16" t="str">
        <f aca="false">IF($C106="","",IF($AA106="Open",$B$2,IF($M106&lt;&gt;"",$M106,$G106))-$A106)</f>
        <v/>
      </c>
      <c r="R106" s="16" t="str">
        <f aca="false">IF($C106="","",IF($AA106="Open",MAX($G106-$B$2,0),""))</f>
        <v/>
      </c>
      <c r="S106" s="15" t="str">
        <f aca="false">IF(OR($C106="",$AA106="Open"),"",IF($L106="Closed",-IF($E106="Sell to open",1,-1)*$N106*$E$2*$H106,0))</f>
        <v/>
      </c>
      <c r="T106" s="15" t="str">
        <f aca="false">IF(OR($C106="",$AA106="Open"),"",$O106+$S106-$K106)</f>
        <v/>
      </c>
      <c r="U106" s="15" t="str">
        <f aca="false">IF(OR($C106="",$AA106="Open"),"",IF(AND($C106="Covered call",$L106="Assigned"),($F106-$J106)*$E$2*$H106,0))</f>
        <v/>
      </c>
      <c r="V106" s="15" t="str">
        <f aca="false">IF(OR($C106="",$AA106="Open"),"",$T106+$U106)</f>
        <v/>
      </c>
      <c r="W106" s="15" t="str">
        <f aca="false">IF($C106="","",IF(OR($C106="Long call",$C106="Long put"),$I106*$E$2*$H106,(IF($C106="Covered call",$J106,$F106)-$I106)*$E$2*$H106))</f>
        <v/>
      </c>
      <c r="X106" s="17" t="str">
        <f aca="false">IF(OR($C106="",$AA106="Open"),"",IF($W106&gt;0,$V106/$W106,""))</f>
        <v/>
      </c>
      <c r="Y106" s="17" t="str">
        <f aca="false">IF(OR($C106="",$AA106="Open"),"",IF($W106&gt;0,$X106*365/MAX($Q106,1),""))</f>
        <v/>
      </c>
      <c r="Z106" s="18" t="str">
        <f aca="false">IF(OR($C106="",$AA106="Open"),"",IF($M106&lt;&gt;"",$M106,$G106))</f>
        <v/>
      </c>
      <c r="AA106" s="12" t="str">
        <f aca="false">IF($C106="","",IF(OR($L106="Open",$L106=""),"Open","Realized"))</f>
        <v/>
      </c>
    </row>
    <row r="107" customFormat="false" ht="15" hidden="false" customHeight="false" outlineLevel="0" collapsed="false">
      <c r="A107" s="7"/>
      <c r="B107" s="9"/>
      <c r="C107" s="32"/>
      <c r="D107" s="12" t="str">
        <f aca="false">IF($C107="","",IF(OR($C107="Long call",$C107="Covered call"),"Call","Put"))</f>
        <v/>
      </c>
      <c r="E107" s="12" t="str">
        <f aca="false">IF($C107="","",IF(OR($C107="Long call",$C107="Long put"),"Buy to open","Sell to open"))</f>
        <v/>
      </c>
      <c r="F107" s="13"/>
      <c r="G107" s="7"/>
      <c r="H107" s="14"/>
      <c r="I107" s="13"/>
      <c r="J107" s="13"/>
      <c r="K107" s="13"/>
      <c r="L107" s="32"/>
      <c r="M107" s="7"/>
      <c r="N107" s="13"/>
      <c r="O107" s="15" t="str">
        <f aca="false">IF($C107="","",IF($E107="Sell to open",1,-1)*$I107*$E$2*$H107)</f>
        <v/>
      </c>
      <c r="P107" s="15" t="str">
        <f aca="false">IF($C107="","",IF($C107="Long call",$F107+$I107,IF($C107="Covered call",$J107-$I107,$F107-$I107)))</f>
        <v/>
      </c>
      <c r="Q107" s="16" t="str">
        <f aca="false">IF($C107="","",IF($AA107="Open",$B$2,IF($M107&lt;&gt;"",$M107,$G107))-$A107)</f>
        <v/>
      </c>
      <c r="R107" s="16" t="str">
        <f aca="false">IF($C107="","",IF($AA107="Open",MAX($G107-$B$2,0),""))</f>
        <v/>
      </c>
      <c r="S107" s="15" t="str">
        <f aca="false">IF(OR($C107="",$AA107="Open"),"",IF($L107="Closed",-IF($E107="Sell to open",1,-1)*$N107*$E$2*$H107,0))</f>
        <v/>
      </c>
      <c r="T107" s="15" t="str">
        <f aca="false">IF(OR($C107="",$AA107="Open"),"",$O107+$S107-$K107)</f>
        <v/>
      </c>
      <c r="U107" s="15" t="str">
        <f aca="false">IF(OR($C107="",$AA107="Open"),"",IF(AND($C107="Covered call",$L107="Assigned"),($F107-$J107)*$E$2*$H107,0))</f>
        <v/>
      </c>
      <c r="V107" s="15" t="str">
        <f aca="false">IF(OR($C107="",$AA107="Open"),"",$T107+$U107)</f>
        <v/>
      </c>
      <c r="W107" s="15" t="str">
        <f aca="false">IF($C107="","",IF(OR($C107="Long call",$C107="Long put"),$I107*$E$2*$H107,(IF($C107="Covered call",$J107,$F107)-$I107)*$E$2*$H107))</f>
        <v/>
      </c>
      <c r="X107" s="17" t="str">
        <f aca="false">IF(OR($C107="",$AA107="Open"),"",IF($W107&gt;0,$V107/$W107,""))</f>
        <v/>
      </c>
      <c r="Y107" s="17" t="str">
        <f aca="false">IF(OR($C107="",$AA107="Open"),"",IF($W107&gt;0,$X107*365/MAX($Q107,1),""))</f>
        <v/>
      </c>
      <c r="Z107" s="18" t="str">
        <f aca="false">IF(OR($C107="",$AA107="Open"),"",IF($M107&lt;&gt;"",$M107,$G107))</f>
        <v/>
      </c>
      <c r="AA107" s="12" t="str">
        <f aca="false">IF($C107="","",IF(OR($L107="Open",$L107=""),"Open","Realized"))</f>
        <v/>
      </c>
    </row>
    <row r="108" customFormat="false" ht="15" hidden="false" customHeight="false" outlineLevel="0" collapsed="false">
      <c r="A108" s="7"/>
      <c r="B108" s="9"/>
      <c r="C108" s="32"/>
      <c r="D108" s="12" t="str">
        <f aca="false">IF($C108="","",IF(OR($C108="Long call",$C108="Covered call"),"Call","Put"))</f>
        <v/>
      </c>
      <c r="E108" s="12" t="str">
        <f aca="false">IF($C108="","",IF(OR($C108="Long call",$C108="Long put"),"Buy to open","Sell to open"))</f>
        <v/>
      </c>
      <c r="F108" s="13"/>
      <c r="G108" s="7"/>
      <c r="H108" s="14"/>
      <c r="I108" s="13"/>
      <c r="J108" s="13"/>
      <c r="K108" s="13"/>
      <c r="L108" s="32"/>
      <c r="M108" s="7"/>
      <c r="N108" s="13"/>
      <c r="O108" s="15" t="str">
        <f aca="false">IF($C108="","",IF($E108="Sell to open",1,-1)*$I108*$E$2*$H108)</f>
        <v/>
      </c>
      <c r="P108" s="15" t="str">
        <f aca="false">IF($C108="","",IF($C108="Long call",$F108+$I108,IF($C108="Covered call",$J108-$I108,$F108-$I108)))</f>
        <v/>
      </c>
      <c r="Q108" s="16" t="str">
        <f aca="false">IF($C108="","",IF($AA108="Open",$B$2,IF($M108&lt;&gt;"",$M108,$G108))-$A108)</f>
        <v/>
      </c>
      <c r="R108" s="16" t="str">
        <f aca="false">IF($C108="","",IF($AA108="Open",MAX($G108-$B$2,0),""))</f>
        <v/>
      </c>
      <c r="S108" s="15" t="str">
        <f aca="false">IF(OR($C108="",$AA108="Open"),"",IF($L108="Closed",-IF($E108="Sell to open",1,-1)*$N108*$E$2*$H108,0))</f>
        <v/>
      </c>
      <c r="T108" s="15" t="str">
        <f aca="false">IF(OR($C108="",$AA108="Open"),"",$O108+$S108-$K108)</f>
        <v/>
      </c>
      <c r="U108" s="15" t="str">
        <f aca="false">IF(OR($C108="",$AA108="Open"),"",IF(AND($C108="Covered call",$L108="Assigned"),($F108-$J108)*$E$2*$H108,0))</f>
        <v/>
      </c>
      <c r="V108" s="15" t="str">
        <f aca="false">IF(OR($C108="",$AA108="Open"),"",$T108+$U108)</f>
        <v/>
      </c>
      <c r="W108" s="15" t="str">
        <f aca="false">IF($C108="","",IF(OR($C108="Long call",$C108="Long put"),$I108*$E$2*$H108,(IF($C108="Covered call",$J108,$F108)-$I108)*$E$2*$H108))</f>
        <v/>
      </c>
      <c r="X108" s="17" t="str">
        <f aca="false">IF(OR($C108="",$AA108="Open"),"",IF($W108&gt;0,$V108/$W108,""))</f>
        <v/>
      </c>
      <c r="Y108" s="17" t="str">
        <f aca="false">IF(OR($C108="",$AA108="Open"),"",IF($W108&gt;0,$X108*365/MAX($Q108,1),""))</f>
        <v/>
      </c>
      <c r="Z108" s="18" t="str">
        <f aca="false">IF(OR($C108="",$AA108="Open"),"",IF($M108&lt;&gt;"",$M108,$G108))</f>
        <v/>
      </c>
      <c r="AA108" s="12" t="str">
        <f aca="false">IF($C108="","",IF(OR($L108="Open",$L108=""),"Open","Realized"))</f>
        <v/>
      </c>
    </row>
    <row r="109" customFormat="false" ht="15" hidden="false" customHeight="false" outlineLevel="0" collapsed="false">
      <c r="A109" s="7"/>
      <c r="B109" s="9"/>
      <c r="C109" s="32"/>
      <c r="D109" s="12" t="str">
        <f aca="false">IF($C109="","",IF(OR($C109="Long call",$C109="Covered call"),"Call","Put"))</f>
        <v/>
      </c>
      <c r="E109" s="12" t="str">
        <f aca="false">IF($C109="","",IF(OR($C109="Long call",$C109="Long put"),"Buy to open","Sell to open"))</f>
        <v/>
      </c>
      <c r="F109" s="13"/>
      <c r="G109" s="7"/>
      <c r="H109" s="14"/>
      <c r="I109" s="13"/>
      <c r="J109" s="13"/>
      <c r="K109" s="13"/>
      <c r="L109" s="32"/>
      <c r="M109" s="7"/>
      <c r="N109" s="13"/>
      <c r="O109" s="15" t="str">
        <f aca="false">IF($C109="","",IF($E109="Sell to open",1,-1)*$I109*$E$2*$H109)</f>
        <v/>
      </c>
      <c r="P109" s="15" t="str">
        <f aca="false">IF($C109="","",IF($C109="Long call",$F109+$I109,IF($C109="Covered call",$J109-$I109,$F109-$I109)))</f>
        <v/>
      </c>
      <c r="Q109" s="16" t="str">
        <f aca="false">IF($C109="","",IF($AA109="Open",$B$2,IF($M109&lt;&gt;"",$M109,$G109))-$A109)</f>
        <v/>
      </c>
      <c r="R109" s="16" t="str">
        <f aca="false">IF($C109="","",IF($AA109="Open",MAX($G109-$B$2,0),""))</f>
        <v/>
      </c>
      <c r="S109" s="15" t="str">
        <f aca="false">IF(OR($C109="",$AA109="Open"),"",IF($L109="Closed",-IF($E109="Sell to open",1,-1)*$N109*$E$2*$H109,0))</f>
        <v/>
      </c>
      <c r="T109" s="15" t="str">
        <f aca="false">IF(OR($C109="",$AA109="Open"),"",$O109+$S109-$K109)</f>
        <v/>
      </c>
      <c r="U109" s="15" t="str">
        <f aca="false">IF(OR($C109="",$AA109="Open"),"",IF(AND($C109="Covered call",$L109="Assigned"),($F109-$J109)*$E$2*$H109,0))</f>
        <v/>
      </c>
      <c r="V109" s="15" t="str">
        <f aca="false">IF(OR($C109="",$AA109="Open"),"",$T109+$U109)</f>
        <v/>
      </c>
      <c r="W109" s="15" t="str">
        <f aca="false">IF($C109="","",IF(OR($C109="Long call",$C109="Long put"),$I109*$E$2*$H109,(IF($C109="Covered call",$J109,$F109)-$I109)*$E$2*$H109))</f>
        <v/>
      </c>
      <c r="X109" s="17" t="str">
        <f aca="false">IF(OR($C109="",$AA109="Open"),"",IF($W109&gt;0,$V109/$W109,""))</f>
        <v/>
      </c>
      <c r="Y109" s="17" t="str">
        <f aca="false">IF(OR($C109="",$AA109="Open"),"",IF($W109&gt;0,$X109*365/MAX($Q109,1),""))</f>
        <v/>
      </c>
      <c r="Z109" s="18" t="str">
        <f aca="false">IF(OR($C109="",$AA109="Open"),"",IF($M109&lt;&gt;"",$M109,$G109))</f>
        <v/>
      </c>
      <c r="AA109" s="12" t="str">
        <f aca="false">IF($C109="","",IF(OR($L109="Open",$L109=""),"Open","Realized"))</f>
        <v/>
      </c>
    </row>
    <row r="110" customFormat="false" ht="15" hidden="false" customHeight="false" outlineLevel="0" collapsed="false">
      <c r="A110" s="7"/>
      <c r="B110" s="9"/>
      <c r="C110" s="32"/>
      <c r="D110" s="12" t="str">
        <f aca="false">IF($C110="","",IF(OR($C110="Long call",$C110="Covered call"),"Call","Put"))</f>
        <v/>
      </c>
      <c r="E110" s="12" t="str">
        <f aca="false">IF($C110="","",IF(OR($C110="Long call",$C110="Long put"),"Buy to open","Sell to open"))</f>
        <v/>
      </c>
      <c r="F110" s="13"/>
      <c r="G110" s="7"/>
      <c r="H110" s="14"/>
      <c r="I110" s="13"/>
      <c r="J110" s="13"/>
      <c r="K110" s="13"/>
      <c r="L110" s="32"/>
      <c r="M110" s="7"/>
      <c r="N110" s="13"/>
      <c r="O110" s="15" t="str">
        <f aca="false">IF($C110="","",IF($E110="Sell to open",1,-1)*$I110*$E$2*$H110)</f>
        <v/>
      </c>
      <c r="P110" s="15" t="str">
        <f aca="false">IF($C110="","",IF($C110="Long call",$F110+$I110,IF($C110="Covered call",$J110-$I110,$F110-$I110)))</f>
        <v/>
      </c>
      <c r="Q110" s="16" t="str">
        <f aca="false">IF($C110="","",IF($AA110="Open",$B$2,IF($M110&lt;&gt;"",$M110,$G110))-$A110)</f>
        <v/>
      </c>
      <c r="R110" s="16" t="str">
        <f aca="false">IF($C110="","",IF($AA110="Open",MAX($G110-$B$2,0),""))</f>
        <v/>
      </c>
      <c r="S110" s="15" t="str">
        <f aca="false">IF(OR($C110="",$AA110="Open"),"",IF($L110="Closed",-IF($E110="Sell to open",1,-1)*$N110*$E$2*$H110,0))</f>
        <v/>
      </c>
      <c r="T110" s="15" t="str">
        <f aca="false">IF(OR($C110="",$AA110="Open"),"",$O110+$S110-$K110)</f>
        <v/>
      </c>
      <c r="U110" s="15" t="str">
        <f aca="false">IF(OR($C110="",$AA110="Open"),"",IF(AND($C110="Covered call",$L110="Assigned"),($F110-$J110)*$E$2*$H110,0))</f>
        <v/>
      </c>
      <c r="V110" s="15" t="str">
        <f aca="false">IF(OR($C110="",$AA110="Open"),"",$T110+$U110)</f>
        <v/>
      </c>
      <c r="W110" s="15" t="str">
        <f aca="false">IF($C110="","",IF(OR($C110="Long call",$C110="Long put"),$I110*$E$2*$H110,(IF($C110="Covered call",$J110,$F110)-$I110)*$E$2*$H110))</f>
        <v/>
      </c>
      <c r="X110" s="17" t="str">
        <f aca="false">IF(OR($C110="",$AA110="Open"),"",IF($W110&gt;0,$V110/$W110,""))</f>
        <v/>
      </c>
      <c r="Y110" s="17" t="str">
        <f aca="false">IF(OR($C110="",$AA110="Open"),"",IF($W110&gt;0,$X110*365/MAX($Q110,1),""))</f>
        <v/>
      </c>
      <c r="Z110" s="18" t="str">
        <f aca="false">IF(OR($C110="",$AA110="Open"),"",IF($M110&lt;&gt;"",$M110,$G110))</f>
        <v/>
      </c>
      <c r="AA110" s="12" t="str">
        <f aca="false">IF($C110="","",IF(OR($L110="Open",$L110=""),"Open","Realized"))</f>
        <v/>
      </c>
    </row>
    <row r="111" customFormat="false" ht="15" hidden="false" customHeight="false" outlineLevel="0" collapsed="false">
      <c r="A111" s="7"/>
      <c r="B111" s="9"/>
      <c r="C111" s="32"/>
      <c r="D111" s="12" t="str">
        <f aca="false">IF($C111="","",IF(OR($C111="Long call",$C111="Covered call"),"Call","Put"))</f>
        <v/>
      </c>
      <c r="E111" s="12" t="str">
        <f aca="false">IF($C111="","",IF(OR($C111="Long call",$C111="Long put"),"Buy to open","Sell to open"))</f>
        <v/>
      </c>
      <c r="F111" s="13"/>
      <c r="G111" s="7"/>
      <c r="H111" s="14"/>
      <c r="I111" s="13"/>
      <c r="J111" s="13"/>
      <c r="K111" s="13"/>
      <c r="L111" s="32"/>
      <c r="M111" s="7"/>
      <c r="N111" s="13"/>
      <c r="O111" s="15" t="str">
        <f aca="false">IF($C111="","",IF($E111="Sell to open",1,-1)*$I111*$E$2*$H111)</f>
        <v/>
      </c>
      <c r="P111" s="15" t="str">
        <f aca="false">IF($C111="","",IF($C111="Long call",$F111+$I111,IF($C111="Covered call",$J111-$I111,$F111-$I111)))</f>
        <v/>
      </c>
      <c r="Q111" s="16" t="str">
        <f aca="false">IF($C111="","",IF($AA111="Open",$B$2,IF($M111&lt;&gt;"",$M111,$G111))-$A111)</f>
        <v/>
      </c>
      <c r="R111" s="16" t="str">
        <f aca="false">IF($C111="","",IF($AA111="Open",MAX($G111-$B$2,0),""))</f>
        <v/>
      </c>
      <c r="S111" s="15" t="str">
        <f aca="false">IF(OR($C111="",$AA111="Open"),"",IF($L111="Closed",-IF($E111="Sell to open",1,-1)*$N111*$E$2*$H111,0))</f>
        <v/>
      </c>
      <c r="T111" s="15" t="str">
        <f aca="false">IF(OR($C111="",$AA111="Open"),"",$O111+$S111-$K111)</f>
        <v/>
      </c>
      <c r="U111" s="15" t="str">
        <f aca="false">IF(OR($C111="",$AA111="Open"),"",IF(AND($C111="Covered call",$L111="Assigned"),($F111-$J111)*$E$2*$H111,0))</f>
        <v/>
      </c>
      <c r="V111" s="15" t="str">
        <f aca="false">IF(OR($C111="",$AA111="Open"),"",$T111+$U111)</f>
        <v/>
      </c>
      <c r="W111" s="15" t="str">
        <f aca="false">IF($C111="","",IF(OR($C111="Long call",$C111="Long put"),$I111*$E$2*$H111,(IF($C111="Covered call",$J111,$F111)-$I111)*$E$2*$H111))</f>
        <v/>
      </c>
      <c r="X111" s="17" t="str">
        <f aca="false">IF(OR($C111="",$AA111="Open"),"",IF($W111&gt;0,$V111/$W111,""))</f>
        <v/>
      </c>
      <c r="Y111" s="17" t="str">
        <f aca="false">IF(OR($C111="",$AA111="Open"),"",IF($W111&gt;0,$X111*365/MAX($Q111,1),""))</f>
        <v/>
      </c>
      <c r="Z111" s="18" t="str">
        <f aca="false">IF(OR($C111="",$AA111="Open"),"",IF($M111&lt;&gt;"",$M111,$G111))</f>
        <v/>
      </c>
      <c r="AA111" s="12" t="str">
        <f aca="false">IF($C111="","",IF(OR($L111="Open",$L111=""),"Open","Realized"))</f>
        <v/>
      </c>
    </row>
    <row r="112" customFormat="false" ht="15" hidden="false" customHeight="false" outlineLevel="0" collapsed="false">
      <c r="A112" s="7"/>
      <c r="B112" s="9"/>
      <c r="C112" s="32"/>
      <c r="D112" s="12" t="str">
        <f aca="false">IF($C112="","",IF(OR($C112="Long call",$C112="Covered call"),"Call","Put"))</f>
        <v/>
      </c>
      <c r="E112" s="12" t="str">
        <f aca="false">IF($C112="","",IF(OR($C112="Long call",$C112="Long put"),"Buy to open","Sell to open"))</f>
        <v/>
      </c>
      <c r="F112" s="13"/>
      <c r="G112" s="7"/>
      <c r="H112" s="14"/>
      <c r="I112" s="13"/>
      <c r="J112" s="13"/>
      <c r="K112" s="13"/>
      <c r="L112" s="32"/>
      <c r="M112" s="7"/>
      <c r="N112" s="13"/>
      <c r="O112" s="15" t="str">
        <f aca="false">IF($C112="","",IF($E112="Sell to open",1,-1)*$I112*$E$2*$H112)</f>
        <v/>
      </c>
      <c r="P112" s="15" t="str">
        <f aca="false">IF($C112="","",IF($C112="Long call",$F112+$I112,IF($C112="Covered call",$J112-$I112,$F112-$I112)))</f>
        <v/>
      </c>
      <c r="Q112" s="16" t="str">
        <f aca="false">IF($C112="","",IF($AA112="Open",$B$2,IF($M112&lt;&gt;"",$M112,$G112))-$A112)</f>
        <v/>
      </c>
      <c r="R112" s="16" t="str">
        <f aca="false">IF($C112="","",IF($AA112="Open",MAX($G112-$B$2,0),""))</f>
        <v/>
      </c>
      <c r="S112" s="15" t="str">
        <f aca="false">IF(OR($C112="",$AA112="Open"),"",IF($L112="Closed",-IF($E112="Sell to open",1,-1)*$N112*$E$2*$H112,0))</f>
        <v/>
      </c>
      <c r="T112" s="15" t="str">
        <f aca="false">IF(OR($C112="",$AA112="Open"),"",$O112+$S112-$K112)</f>
        <v/>
      </c>
      <c r="U112" s="15" t="str">
        <f aca="false">IF(OR($C112="",$AA112="Open"),"",IF(AND($C112="Covered call",$L112="Assigned"),($F112-$J112)*$E$2*$H112,0))</f>
        <v/>
      </c>
      <c r="V112" s="15" t="str">
        <f aca="false">IF(OR($C112="",$AA112="Open"),"",$T112+$U112)</f>
        <v/>
      </c>
      <c r="W112" s="15" t="str">
        <f aca="false">IF($C112="","",IF(OR($C112="Long call",$C112="Long put"),$I112*$E$2*$H112,(IF($C112="Covered call",$J112,$F112)-$I112)*$E$2*$H112))</f>
        <v/>
      </c>
      <c r="X112" s="17" t="str">
        <f aca="false">IF(OR($C112="",$AA112="Open"),"",IF($W112&gt;0,$V112/$W112,""))</f>
        <v/>
      </c>
      <c r="Y112" s="17" t="str">
        <f aca="false">IF(OR($C112="",$AA112="Open"),"",IF($W112&gt;0,$X112*365/MAX($Q112,1),""))</f>
        <v/>
      </c>
      <c r="Z112" s="18" t="str">
        <f aca="false">IF(OR($C112="",$AA112="Open"),"",IF($M112&lt;&gt;"",$M112,$G112))</f>
        <v/>
      </c>
      <c r="AA112" s="12" t="str">
        <f aca="false">IF($C112="","",IF(OR($L112="Open",$L112=""),"Open","Realized"))</f>
        <v/>
      </c>
    </row>
    <row r="113" customFormat="false" ht="15" hidden="false" customHeight="false" outlineLevel="0" collapsed="false">
      <c r="A113" s="7"/>
      <c r="B113" s="9"/>
      <c r="C113" s="32"/>
      <c r="D113" s="12" t="str">
        <f aca="false">IF($C113="","",IF(OR($C113="Long call",$C113="Covered call"),"Call","Put"))</f>
        <v/>
      </c>
      <c r="E113" s="12" t="str">
        <f aca="false">IF($C113="","",IF(OR($C113="Long call",$C113="Long put"),"Buy to open","Sell to open"))</f>
        <v/>
      </c>
      <c r="F113" s="13"/>
      <c r="G113" s="7"/>
      <c r="H113" s="14"/>
      <c r="I113" s="13"/>
      <c r="J113" s="13"/>
      <c r="K113" s="13"/>
      <c r="L113" s="32"/>
      <c r="M113" s="7"/>
      <c r="N113" s="13"/>
      <c r="O113" s="15" t="str">
        <f aca="false">IF($C113="","",IF($E113="Sell to open",1,-1)*$I113*$E$2*$H113)</f>
        <v/>
      </c>
      <c r="P113" s="15" t="str">
        <f aca="false">IF($C113="","",IF($C113="Long call",$F113+$I113,IF($C113="Covered call",$J113-$I113,$F113-$I113)))</f>
        <v/>
      </c>
      <c r="Q113" s="16" t="str">
        <f aca="false">IF($C113="","",IF($AA113="Open",$B$2,IF($M113&lt;&gt;"",$M113,$G113))-$A113)</f>
        <v/>
      </c>
      <c r="R113" s="16" t="str">
        <f aca="false">IF($C113="","",IF($AA113="Open",MAX($G113-$B$2,0),""))</f>
        <v/>
      </c>
      <c r="S113" s="15" t="str">
        <f aca="false">IF(OR($C113="",$AA113="Open"),"",IF($L113="Closed",-IF($E113="Sell to open",1,-1)*$N113*$E$2*$H113,0))</f>
        <v/>
      </c>
      <c r="T113" s="15" t="str">
        <f aca="false">IF(OR($C113="",$AA113="Open"),"",$O113+$S113-$K113)</f>
        <v/>
      </c>
      <c r="U113" s="15" t="str">
        <f aca="false">IF(OR($C113="",$AA113="Open"),"",IF(AND($C113="Covered call",$L113="Assigned"),($F113-$J113)*$E$2*$H113,0))</f>
        <v/>
      </c>
      <c r="V113" s="15" t="str">
        <f aca="false">IF(OR($C113="",$AA113="Open"),"",$T113+$U113)</f>
        <v/>
      </c>
      <c r="W113" s="15" t="str">
        <f aca="false">IF($C113="","",IF(OR($C113="Long call",$C113="Long put"),$I113*$E$2*$H113,(IF($C113="Covered call",$J113,$F113)-$I113)*$E$2*$H113))</f>
        <v/>
      </c>
      <c r="X113" s="17" t="str">
        <f aca="false">IF(OR($C113="",$AA113="Open"),"",IF($W113&gt;0,$V113/$W113,""))</f>
        <v/>
      </c>
      <c r="Y113" s="17" t="str">
        <f aca="false">IF(OR($C113="",$AA113="Open"),"",IF($W113&gt;0,$X113*365/MAX($Q113,1),""))</f>
        <v/>
      </c>
      <c r="Z113" s="18" t="str">
        <f aca="false">IF(OR($C113="",$AA113="Open"),"",IF($M113&lt;&gt;"",$M113,$G113))</f>
        <v/>
      </c>
      <c r="AA113" s="12" t="str">
        <f aca="false">IF($C113="","",IF(OR($L113="Open",$L113=""),"Open","Realized"))</f>
        <v/>
      </c>
    </row>
    <row r="114" customFormat="false" ht="15" hidden="false" customHeight="false" outlineLevel="0" collapsed="false">
      <c r="A114" s="7"/>
      <c r="B114" s="9"/>
      <c r="C114" s="32"/>
      <c r="D114" s="12" t="str">
        <f aca="false">IF($C114="","",IF(OR($C114="Long call",$C114="Covered call"),"Call","Put"))</f>
        <v/>
      </c>
      <c r="E114" s="12" t="str">
        <f aca="false">IF($C114="","",IF(OR($C114="Long call",$C114="Long put"),"Buy to open","Sell to open"))</f>
        <v/>
      </c>
      <c r="F114" s="13"/>
      <c r="G114" s="7"/>
      <c r="H114" s="14"/>
      <c r="I114" s="13"/>
      <c r="J114" s="13"/>
      <c r="K114" s="13"/>
      <c r="L114" s="32"/>
      <c r="M114" s="7"/>
      <c r="N114" s="13"/>
      <c r="O114" s="15" t="str">
        <f aca="false">IF($C114="","",IF($E114="Sell to open",1,-1)*$I114*$E$2*$H114)</f>
        <v/>
      </c>
      <c r="P114" s="15" t="str">
        <f aca="false">IF($C114="","",IF($C114="Long call",$F114+$I114,IF($C114="Covered call",$J114-$I114,$F114-$I114)))</f>
        <v/>
      </c>
      <c r="Q114" s="16" t="str">
        <f aca="false">IF($C114="","",IF($AA114="Open",$B$2,IF($M114&lt;&gt;"",$M114,$G114))-$A114)</f>
        <v/>
      </c>
      <c r="R114" s="16" t="str">
        <f aca="false">IF($C114="","",IF($AA114="Open",MAX($G114-$B$2,0),""))</f>
        <v/>
      </c>
      <c r="S114" s="15" t="str">
        <f aca="false">IF(OR($C114="",$AA114="Open"),"",IF($L114="Closed",-IF($E114="Sell to open",1,-1)*$N114*$E$2*$H114,0))</f>
        <v/>
      </c>
      <c r="T114" s="15" t="str">
        <f aca="false">IF(OR($C114="",$AA114="Open"),"",$O114+$S114-$K114)</f>
        <v/>
      </c>
      <c r="U114" s="15" t="str">
        <f aca="false">IF(OR($C114="",$AA114="Open"),"",IF(AND($C114="Covered call",$L114="Assigned"),($F114-$J114)*$E$2*$H114,0))</f>
        <v/>
      </c>
      <c r="V114" s="15" t="str">
        <f aca="false">IF(OR($C114="",$AA114="Open"),"",$T114+$U114)</f>
        <v/>
      </c>
      <c r="W114" s="15" t="str">
        <f aca="false">IF($C114="","",IF(OR($C114="Long call",$C114="Long put"),$I114*$E$2*$H114,(IF($C114="Covered call",$J114,$F114)-$I114)*$E$2*$H114))</f>
        <v/>
      </c>
      <c r="X114" s="17" t="str">
        <f aca="false">IF(OR($C114="",$AA114="Open"),"",IF($W114&gt;0,$V114/$W114,""))</f>
        <v/>
      </c>
      <c r="Y114" s="17" t="str">
        <f aca="false">IF(OR($C114="",$AA114="Open"),"",IF($W114&gt;0,$X114*365/MAX($Q114,1),""))</f>
        <v/>
      </c>
      <c r="Z114" s="18" t="str">
        <f aca="false">IF(OR($C114="",$AA114="Open"),"",IF($M114&lt;&gt;"",$M114,$G114))</f>
        <v/>
      </c>
      <c r="AA114" s="12" t="str">
        <f aca="false">IF($C114="","",IF(OR($L114="Open",$L114=""),"Open","Realized"))</f>
        <v/>
      </c>
    </row>
    <row r="115" customFormat="false" ht="15" hidden="false" customHeight="false" outlineLevel="0" collapsed="false">
      <c r="A115" s="7"/>
      <c r="B115" s="9"/>
      <c r="C115" s="32"/>
      <c r="D115" s="12" t="str">
        <f aca="false">IF($C115="","",IF(OR($C115="Long call",$C115="Covered call"),"Call","Put"))</f>
        <v/>
      </c>
      <c r="E115" s="12" t="str">
        <f aca="false">IF($C115="","",IF(OR($C115="Long call",$C115="Long put"),"Buy to open","Sell to open"))</f>
        <v/>
      </c>
      <c r="F115" s="13"/>
      <c r="G115" s="7"/>
      <c r="H115" s="14"/>
      <c r="I115" s="13"/>
      <c r="J115" s="13"/>
      <c r="K115" s="13"/>
      <c r="L115" s="32"/>
      <c r="M115" s="7"/>
      <c r="N115" s="13"/>
      <c r="O115" s="15" t="str">
        <f aca="false">IF($C115="","",IF($E115="Sell to open",1,-1)*$I115*$E$2*$H115)</f>
        <v/>
      </c>
      <c r="P115" s="15" t="str">
        <f aca="false">IF($C115="","",IF($C115="Long call",$F115+$I115,IF($C115="Covered call",$J115-$I115,$F115-$I115)))</f>
        <v/>
      </c>
      <c r="Q115" s="16" t="str">
        <f aca="false">IF($C115="","",IF($AA115="Open",$B$2,IF($M115&lt;&gt;"",$M115,$G115))-$A115)</f>
        <v/>
      </c>
      <c r="R115" s="16" t="str">
        <f aca="false">IF($C115="","",IF($AA115="Open",MAX($G115-$B$2,0),""))</f>
        <v/>
      </c>
      <c r="S115" s="15" t="str">
        <f aca="false">IF(OR($C115="",$AA115="Open"),"",IF($L115="Closed",-IF($E115="Sell to open",1,-1)*$N115*$E$2*$H115,0))</f>
        <v/>
      </c>
      <c r="T115" s="15" t="str">
        <f aca="false">IF(OR($C115="",$AA115="Open"),"",$O115+$S115-$K115)</f>
        <v/>
      </c>
      <c r="U115" s="15" t="str">
        <f aca="false">IF(OR($C115="",$AA115="Open"),"",IF(AND($C115="Covered call",$L115="Assigned"),($F115-$J115)*$E$2*$H115,0))</f>
        <v/>
      </c>
      <c r="V115" s="15" t="str">
        <f aca="false">IF(OR($C115="",$AA115="Open"),"",$T115+$U115)</f>
        <v/>
      </c>
      <c r="W115" s="15" t="str">
        <f aca="false">IF($C115="","",IF(OR($C115="Long call",$C115="Long put"),$I115*$E$2*$H115,(IF($C115="Covered call",$J115,$F115)-$I115)*$E$2*$H115))</f>
        <v/>
      </c>
      <c r="X115" s="17" t="str">
        <f aca="false">IF(OR($C115="",$AA115="Open"),"",IF($W115&gt;0,$V115/$W115,""))</f>
        <v/>
      </c>
      <c r="Y115" s="17" t="str">
        <f aca="false">IF(OR($C115="",$AA115="Open"),"",IF($W115&gt;0,$X115*365/MAX($Q115,1),""))</f>
        <v/>
      </c>
      <c r="Z115" s="18" t="str">
        <f aca="false">IF(OR($C115="",$AA115="Open"),"",IF($M115&lt;&gt;"",$M115,$G115))</f>
        <v/>
      </c>
      <c r="AA115" s="12" t="str">
        <f aca="false">IF($C115="","",IF(OR($L115="Open",$L115=""),"Open","Realized"))</f>
        <v/>
      </c>
    </row>
    <row r="116" customFormat="false" ht="15" hidden="false" customHeight="false" outlineLevel="0" collapsed="false">
      <c r="A116" s="7"/>
      <c r="B116" s="9"/>
      <c r="C116" s="32"/>
      <c r="D116" s="12" t="str">
        <f aca="false">IF($C116="","",IF(OR($C116="Long call",$C116="Covered call"),"Call","Put"))</f>
        <v/>
      </c>
      <c r="E116" s="12" t="str">
        <f aca="false">IF($C116="","",IF(OR($C116="Long call",$C116="Long put"),"Buy to open","Sell to open"))</f>
        <v/>
      </c>
      <c r="F116" s="13"/>
      <c r="G116" s="7"/>
      <c r="H116" s="14"/>
      <c r="I116" s="13"/>
      <c r="J116" s="13"/>
      <c r="K116" s="13"/>
      <c r="L116" s="32"/>
      <c r="M116" s="7"/>
      <c r="N116" s="13"/>
      <c r="O116" s="15" t="str">
        <f aca="false">IF($C116="","",IF($E116="Sell to open",1,-1)*$I116*$E$2*$H116)</f>
        <v/>
      </c>
      <c r="P116" s="15" t="str">
        <f aca="false">IF($C116="","",IF($C116="Long call",$F116+$I116,IF($C116="Covered call",$J116-$I116,$F116-$I116)))</f>
        <v/>
      </c>
      <c r="Q116" s="16" t="str">
        <f aca="false">IF($C116="","",IF($AA116="Open",$B$2,IF($M116&lt;&gt;"",$M116,$G116))-$A116)</f>
        <v/>
      </c>
      <c r="R116" s="16" t="str">
        <f aca="false">IF($C116="","",IF($AA116="Open",MAX($G116-$B$2,0),""))</f>
        <v/>
      </c>
      <c r="S116" s="15" t="str">
        <f aca="false">IF(OR($C116="",$AA116="Open"),"",IF($L116="Closed",-IF($E116="Sell to open",1,-1)*$N116*$E$2*$H116,0))</f>
        <v/>
      </c>
      <c r="T116" s="15" t="str">
        <f aca="false">IF(OR($C116="",$AA116="Open"),"",$O116+$S116-$K116)</f>
        <v/>
      </c>
      <c r="U116" s="15" t="str">
        <f aca="false">IF(OR($C116="",$AA116="Open"),"",IF(AND($C116="Covered call",$L116="Assigned"),($F116-$J116)*$E$2*$H116,0))</f>
        <v/>
      </c>
      <c r="V116" s="15" t="str">
        <f aca="false">IF(OR($C116="",$AA116="Open"),"",$T116+$U116)</f>
        <v/>
      </c>
      <c r="W116" s="15" t="str">
        <f aca="false">IF($C116="","",IF(OR($C116="Long call",$C116="Long put"),$I116*$E$2*$H116,(IF($C116="Covered call",$J116,$F116)-$I116)*$E$2*$H116))</f>
        <v/>
      </c>
      <c r="X116" s="17" t="str">
        <f aca="false">IF(OR($C116="",$AA116="Open"),"",IF($W116&gt;0,$V116/$W116,""))</f>
        <v/>
      </c>
      <c r="Y116" s="17" t="str">
        <f aca="false">IF(OR($C116="",$AA116="Open"),"",IF($W116&gt;0,$X116*365/MAX($Q116,1),""))</f>
        <v/>
      </c>
      <c r="Z116" s="18" t="str">
        <f aca="false">IF(OR($C116="",$AA116="Open"),"",IF($M116&lt;&gt;"",$M116,$G116))</f>
        <v/>
      </c>
      <c r="AA116" s="12" t="str">
        <f aca="false">IF($C116="","",IF(OR($L116="Open",$L116=""),"Open","Realized"))</f>
        <v/>
      </c>
    </row>
    <row r="117" customFormat="false" ht="15" hidden="false" customHeight="false" outlineLevel="0" collapsed="false">
      <c r="A117" s="7"/>
      <c r="B117" s="9"/>
      <c r="C117" s="32"/>
      <c r="D117" s="12" t="str">
        <f aca="false">IF($C117="","",IF(OR($C117="Long call",$C117="Covered call"),"Call","Put"))</f>
        <v/>
      </c>
      <c r="E117" s="12" t="str">
        <f aca="false">IF($C117="","",IF(OR($C117="Long call",$C117="Long put"),"Buy to open","Sell to open"))</f>
        <v/>
      </c>
      <c r="F117" s="13"/>
      <c r="G117" s="7"/>
      <c r="H117" s="14"/>
      <c r="I117" s="13"/>
      <c r="J117" s="13"/>
      <c r="K117" s="13"/>
      <c r="L117" s="32"/>
      <c r="M117" s="7"/>
      <c r="N117" s="13"/>
      <c r="O117" s="15" t="str">
        <f aca="false">IF($C117="","",IF($E117="Sell to open",1,-1)*$I117*$E$2*$H117)</f>
        <v/>
      </c>
      <c r="P117" s="15" t="str">
        <f aca="false">IF($C117="","",IF($C117="Long call",$F117+$I117,IF($C117="Covered call",$J117-$I117,$F117-$I117)))</f>
        <v/>
      </c>
      <c r="Q117" s="16" t="str">
        <f aca="false">IF($C117="","",IF($AA117="Open",$B$2,IF($M117&lt;&gt;"",$M117,$G117))-$A117)</f>
        <v/>
      </c>
      <c r="R117" s="16" t="str">
        <f aca="false">IF($C117="","",IF($AA117="Open",MAX($G117-$B$2,0),""))</f>
        <v/>
      </c>
      <c r="S117" s="15" t="str">
        <f aca="false">IF(OR($C117="",$AA117="Open"),"",IF($L117="Closed",-IF($E117="Sell to open",1,-1)*$N117*$E$2*$H117,0))</f>
        <v/>
      </c>
      <c r="T117" s="15" t="str">
        <f aca="false">IF(OR($C117="",$AA117="Open"),"",$O117+$S117-$K117)</f>
        <v/>
      </c>
      <c r="U117" s="15" t="str">
        <f aca="false">IF(OR($C117="",$AA117="Open"),"",IF(AND($C117="Covered call",$L117="Assigned"),($F117-$J117)*$E$2*$H117,0))</f>
        <v/>
      </c>
      <c r="V117" s="15" t="str">
        <f aca="false">IF(OR($C117="",$AA117="Open"),"",$T117+$U117)</f>
        <v/>
      </c>
      <c r="W117" s="15" t="str">
        <f aca="false">IF($C117="","",IF(OR($C117="Long call",$C117="Long put"),$I117*$E$2*$H117,(IF($C117="Covered call",$J117,$F117)-$I117)*$E$2*$H117))</f>
        <v/>
      </c>
      <c r="X117" s="17" t="str">
        <f aca="false">IF(OR($C117="",$AA117="Open"),"",IF($W117&gt;0,$V117/$W117,""))</f>
        <v/>
      </c>
      <c r="Y117" s="17" t="str">
        <f aca="false">IF(OR($C117="",$AA117="Open"),"",IF($W117&gt;0,$X117*365/MAX($Q117,1),""))</f>
        <v/>
      </c>
      <c r="Z117" s="18" t="str">
        <f aca="false">IF(OR($C117="",$AA117="Open"),"",IF($M117&lt;&gt;"",$M117,$G117))</f>
        <v/>
      </c>
      <c r="AA117" s="12" t="str">
        <f aca="false">IF($C117="","",IF(OR($L117="Open",$L117=""),"Open","Realized"))</f>
        <v/>
      </c>
    </row>
    <row r="118" customFormat="false" ht="15" hidden="false" customHeight="false" outlineLevel="0" collapsed="false">
      <c r="A118" s="7"/>
      <c r="B118" s="9"/>
      <c r="C118" s="32"/>
      <c r="D118" s="12" t="str">
        <f aca="false">IF($C118="","",IF(OR($C118="Long call",$C118="Covered call"),"Call","Put"))</f>
        <v/>
      </c>
      <c r="E118" s="12" t="str">
        <f aca="false">IF($C118="","",IF(OR($C118="Long call",$C118="Long put"),"Buy to open","Sell to open"))</f>
        <v/>
      </c>
      <c r="F118" s="13"/>
      <c r="G118" s="7"/>
      <c r="H118" s="14"/>
      <c r="I118" s="13"/>
      <c r="J118" s="13"/>
      <c r="K118" s="13"/>
      <c r="L118" s="32"/>
      <c r="M118" s="7"/>
      <c r="N118" s="13"/>
      <c r="O118" s="15" t="str">
        <f aca="false">IF($C118="","",IF($E118="Sell to open",1,-1)*$I118*$E$2*$H118)</f>
        <v/>
      </c>
      <c r="P118" s="15" t="str">
        <f aca="false">IF($C118="","",IF($C118="Long call",$F118+$I118,IF($C118="Covered call",$J118-$I118,$F118-$I118)))</f>
        <v/>
      </c>
      <c r="Q118" s="16" t="str">
        <f aca="false">IF($C118="","",IF($AA118="Open",$B$2,IF($M118&lt;&gt;"",$M118,$G118))-$A118)</f>
        <v/>
      </c>
      <c r="R118" s="16" t="str">
        <f aca="false">IF($C118="","",IF($AA118="Open",MAX($G118-$B$2,0),""))</f>
        <v/>
      </c>
      <c r="S118" s="15" t="str">
        <f aca="false">IF(OR($C118="",$AA118="Open"),"",IF($L118="Closed",-IF($E118="Sell to open",1,-1)*$N118*$E$2*$H118,0))</f>
        <v/>
      </c>
      <c r="T118" s="15" t="str">
        <f aca="false">IF(OR($C118="",$AA118="Open"),"",$O118+$S118-$K118)</f>
        <v/>
      </c>
      <c r="U118" s="15" t="str">
        <f aca="false">IF(OR($C118="",$AA118="Open"),"",IF(AND($C118="Covered call",$L118="Assigned"),($F118-$J118)*$E$2*$H118,0))</f>
        <v/>
      </c>
      <c r="V118" s="15" t="str">
        <f aca="false">IF(OR($C118="",$AA118="Open"),"",$T118+$U118)</f>
        <v/>
      </c>
      <c r="W118" s="15" t="str">
        <f aca="false">IF($C118="","",IF(OR($C118="Long call",$C118="Long put"),$I118*$E$2*$H118,(IF($C118="Covered call",$J118,$F118)-$I118)*$E$2*$H118))</f>
        <v/>
      </c>
      <c r="X118" s="17" t="str">
        <f aca="false">IF(OR($C118="",$AA118="Open"),"",IF($W118&gt;0,$V118/$W118,""))</f>
        <v/>
      </c>
      <c r="Y118" s="17" t="str">
        <f aca="false">IF(OR($C118="",$AA118="Open"),"",IF($W118&gt;0,$X118*365/MAX($Q118,1),""))</f>
        <v/>
      </c>
      <c r="Z118" s="18" t="str">
        <f aca="false">IF(OR($C118="",$AA118="Open"),"",IF($M118&lt;&gt;"",$M118,$G118))</f>
        <v/>
      </c>
      <c r="AA118" s="12" t="str">
        <f aca="false">IF($C118="","",IF(OR($L118="Open",$L118=""),"Open","Realized"))</f>
        <v/>
      </c>
    </row>
    <row r="119" customFormat="false" ht="15" hidden="false" customHeight="false" outlineLevel="0" collapsed="false">
      <c r="A119" s="7"/>
      <c r="B119" s="9"/>
      <c r="C119" s="32"/>
      <c r="D119" s="12" t="str">
        <f aca="false">IF($C119="","",IF(OR($C119="Long call",$C119="Covered call"),"Call","Put"))</f>
        <v/>
      </c>
      <c r="E119" s="12" t="str">
        <f aca="false">IF($C119="","",IF(OR($C119="Long call",$C119="Long put"),"Buy to open","Sell to open"))</f>
        <v/>
      </c>
      <c r="F119" s="13"/>
      <c r="G119" s="7"/>
      <c r="H119" s="14"/>
      <c r="I119" s="13"/>
      <c r="J119" s="13"/>
      <c r="K119" s="13"/>
      <c r="L119" s="32"/>
      <c r="M119" s="7"/>
      <c r="N119" s="13"/>
      <c r="O119" s="15" t="str">
        <f aca="false">IF($C119="","",IF($E119="Sell to open",1,-1)*$I119*$E$2*$H119)</f>
        <v/>
      </c>
      <c r="P119" s="15" t="str">
        <f aca="false">IF($C119="","",IF($C119="Long call",$F119+$I119,IF($C119="Covered call",$J119-$I119,$F119-$I119)))</f>
        <v/>
      </c>
      <c r="Q119" s="16" t="str">
        <f aca="false">IF($C119="","",IF($AA119="Open",$B$2,IF($M119&lt;&gt;"",$M119,$G119))-$A119)</f>
        <v/>
      </c>
      <c r="R119" s="16" t="str">
        <f aca="false">IF($C119="","",IF($AA119="Open",MAX($G119-$B$2,0),""))</f>
        <v/>
      </c>
      <c r="S119" s="15" t="str">
        <f aca="false">IF(OR($C119="",$AA119="Open"),"",IF($L119="Closed",-IF($E119="Sell to open",1,-1)*$N119*$E$2*$H119,0))</f>
        <v/>
      </c>
      <c r="T119" s="15" t="str">
        <f aca="false">IF(OR($C119="",$AA119="Open"),"",$O119+$S119-$K119)</f>
        <v/>
      </c>
      <c r="U119" s="15" t="str">
        <f aca="false">IF(OR($C119="",$AA119="Open"),"",IF(AND($C119="Covered call",$L119="Assigned"),($F119-$J119)*$E$2*$H119,0))</f>
        <v/>
      </c>
      <c r="V119" s="15" t="str">
        <f aca="false">IF(OR($C119="",$AA119="Open"),"",$T119+$U119)</f>
        <v/>
      </c>
      <c r="W119" s="15" t="str">
        <f aca="false">IF($C119="","",IF(OR($C119="Long call",$C119="Long put"),$I119*$E$2*$H119,(IF($C119="Covered call",$J119,$F119)-$I119)*$E$2*$H119))</f>
        <v/>
      </c>
      <c r="X119" s="17" t="str">
        <f aca="false">IF(OR($C119="",$AA119="Open"),"",IF($W119&gt;0,$V119/$W119,""))</f>
        <v/>
      </c>
      <c r="Y119" s="17" t="str">
        <f aca="false">IF(OR($C119="",$AA119="Open"),"",IF($W119&gt;0,$X119*365/MAX($Q119,1),""))</f>
        <v/>
      </c>
      <c r="Z119" s="18" t="str">
        <f aca="false">IF(OR($C119="",$AA119="Open"),"",IF($M119&lt;&gt;"",$M119,$G119))</f>
        <v/>
      </c>
      <c r="AA119" s="12" t="str">
        <f aca="false">IF($C119="","",IF(OR($L119="Open",$L119=""),"Open","Realized"))</f>
        <v/>
      </c>
    </row>
    <row r="120" customFormat="false" ht="15" hidden="false" customHeight="false" outlineLevel="0" collapsed="false">
      <c r="A120" s="7"/>
      <c r="B120" s="9"/>
      <c r="C120" s="32"/>
      <c r="D120" s="12" t="str">
        <f aca="false">IF($C120="","",IF(OR($C120="Long call",$C120="Covered call"),"Call","Put"))</f>
        <v/>
      </c>
      <c r="E120" s="12" t="str">
        <f aca="false">IF($C120="","",IF(OR($C120="Long call",$C120="Long put"),"Buy to open","Sell to open"))</f>
        <v/>
      </c>
      <c r="F120" s="13"/>
      <c r="G120" s="7"/>
      <c r="H120" s="14"/>
      <c r="I120" s="13"/>
      <c r="J120" s="13"/>
      <c r="K120" s="13"/>
      <c r="L120" s="32"/>
      <c r="M120" s="7"/>
      <c r="N120" s="13"/>
      <c r="O120" s="15" t="str">
        <f aca="false">IF($C120="","",IF($E120="Sell to open",1,-1)*$I120*$E$2*$H120)</f>
        <v/>
      </c>
      <c r="P120" s="15" t="str">
        <f aca="false">IF($C120="","",IF($C120="Long call",$F120+$I120,IF($C120="Covered call",$J120-$I120,$F120-$I120)))</f>
        <v/>
      </c>
      <c r="Q120" s="16" t="str">
        <f aca="false">IF($C120="","",IF($AA120="Open",$B$2,IF($M120&lt;&gt;"",$M120,$G120))-$A120)</f>
        <v/>
      </c>
      <c r="R120" s="16" t="str">
        <f aca="false">IF($C120="","",IF($AA120="Open",MAX($G120-$B$2,0),""))</f>
        <v/>
      </c>
      <c r="S120" s="15" t="str">
        <f aca="false">IF(OR($C120="",$AA120="Open"),"",IF($L120="Closed",-IF($E120="Sell to open",1,-1)*$N120*$E$2*$H120,0))</f>
        <v/>
      </c>
      <c r="T120" s="15" t="str">
        <f aca="false">IF(OR($C120="",$AA120="Open"),"",$O120+$S120-$K120)</f>
        <v/>
      </c>
      <c r="U120" s="15" t="str">
        <f aca="false">IF(OR($C120="",$AA120="Open"),"",IF(AND($C120="Covered call",$L120="Assigned"),($F120-$J120)*$E$2*$H120,0))</f>
        <v/>
      </c>
      <c r="V120" s="15" t="str">
        <f aca="false">IF(OR($C120="",$AA120="Open"),"",$T120+$U120)</f>
        <v/>
      </c>
      <c r="W120" s="15" t="str">
        <f aca="false">IF($C120="","",IF(OR($C120="Long call",$C120="Long put"),$I120*$E$2*$H120,(IF($C120="Covered call",$J120,$F120)-$I120)*$E$2*$H120))</f>
        <v/>
      </c>
      <c r="X120" s="17" t="str">
        <f aca="false">IF(OR($C120="",$AA120="Open"),"",IF($W120&gt;0,$V120/$W120,""))</f>
        <v/>
      </c>
      <c r="Y120" s="17" t="str">
        <f aca="false">IF(OR($C120="",$AA120="Open"),"",IF($W120&gt;0,$X120*365/MAX($Q120,1),""))</f>
        <v/>
      </c>
      <c r="Z120" s="18" t="str">
        <f aca="false">IF(OR($C120="",$AA120="Open"),"",IF($M120&lt;&gt;"",$M120,$G120))</f>
        <v/>
      </c>
      <c r="AA120" s="12" t="str">
        <f aca="false">IF($C120="","",IF(OR($L120="Open",$L120=""),"Open","Realized"))</f>
        <v/>
      </c>
    </row>
    <row r="121" customFormat="false" ht="15" hidden="false" customHeight="false" outlineLevel="0" collapsed="false">
      <c r="A121" s="7"/>
      <c r="B121" s="9"/>
      <c r="C121" s="32"/>
      <c r="D121" s="12" t="str">
        <f aca="false">IF($C121="","",IF(OR($C121="Long call",$C121="Covered call"),"Call","Put"))</f>
        <v/>
      </c>
      <c r="E121" s="12" t="str">
        <f aca="false">IF($C121="","",IF(OR($C121="Long call",$C121="Long put"),"Buy to open","Sell to open"))</f>
        <v/>
      </c>
      <c r="F121" s="13"/>
      <c r="G121" s="7"/>
      <c r="H121" s="14"/>
      <c r="I121" s="13"/>
      <c r="J121" s="13"/>
      <c r="K121" s="13"/>
      <c r="L121" s="32"/>
      <c r="M121" s="7"/>
      <c r="N121" s="13"/>
      <c r="O121" s="15" t="str">
        <f aca="false">IF($C121="","",IF($E121="Sell to open",1,-1)*$I121*$E$2*$H121)</f>
        <v/>
      </c>
      <c r="P121" s="15" t="str">
        <f aca="false">IF($C121="","",IF($C121="Long call",$F121+$I121,IF($C121="Covered call",$J121-$I121,$F121-$I121)))</f>
        <v/>
      </c>
      <c r="Q121" s="16" t="str">
        <f aca="false">IF($C121="","",IF($AA121="Open",$B$2,IF($M121&lt;&gt;"",$M121,$G121))-$A121)</f>
        <v/>
      </c>
      <c r="R121" s="16" t="str">
        <f aca="false">IF($C121="","",IF($AA121="Open",MAX($G121-$B$2,0),""))</f>
        <v/>
      </c>
      <c r="S121" s="15" t="str">
        <f aca="false">IF(OR($C121="",$AA121="Open"),"",IF($L121="Closed",-IF($E121="Sell to open",1,-1)*$N121*$E$2*$H121,0))</f>
        <v/>
      </c>
      <c r="T121" s="15" t="str">
        <f aca="false">IF(OR($C121="",$AA121="Open"),"",$O121+$S121-$K121)</f>
        <v/>
      </c>
      <c r="U121" s="15" t="str">
        <f aca="false">IF(OR($C121="",$AA121="Open"),"",IF(AND($C121="Covered call",$L121="Assigned"),($F121-$J121)*$E$2*$H121,0))</f>
        <v/>
      </c>
      <c r="V121" s="15" t="str">
        <f aca="false">IF(OR($C121="",$AA121="Open"),"",$T121+$U121)</f>
        <v/>
      </c>
      <c r="W121" s="15" t="str">
        <f aca="false">IF($C121="","",IF(OR($C121="Long call",$C121="Long put"),$I121*$E$2*$H121,(IF($C121="Covered call",$J121,$F121)-$I121)*$E$2*$H121))</f>
        <v/>
      </c>
      <c r="X121" s="17" t="str">
        <f aca="false">IF(OR($C121="",$AA121="Open"),"",IF($W121&gt;0,$V121/$W121,""))</f>
        <v/>
      </c>
      <c r="Y121" s="17" t="str">
        <f aca="false">IF(OR($C121="",$AA121="Open"),"",IF($W121&gt;0,$X121*365/MAX($Q121,1),""))</f>
        <v/>
      </c>
      <c r="Z121" s="18" t="str">
        <f aca="false">IF(OR($C121="",$AA121="Open"),"",IF($M121&lt;&gt;"",$M121,$G121))</f>
        <v/>
      </c>
      <c r="AA121" s="12" t="str">
        <f aca="false">IF($C121="","",IF(OR($L121="Open",$L121=""),"Open","Realized"))</f>
        <v/>
      </c>
    </row>
    <row r="122" customFormat="false" ht="15" hidden="false" customHeight="false" outlineLevel="0" collapsed="false">
      <c r="A122" s="7"/>
      <c r="B122" s="9"/>
      <c r="C122" s="32"/>
      <c r="D122" s="12" t="str">
        <f aca="false">IF($C122="","",IF(OR($C122="Long call",$C122="Covered call"),"Call","Put"))</f>
        <v/>
      </c>
      <c r="E122" s="12" t="str">
        <f aca="false">IF($C122="","",IF(OR($C122="Long call",$C122="Long put"),"Buy to open","Sell to open"))</f>
        <v/>
      </c>
      <c r="F122" s="13"/>
      <c r="G122" s="7"/>
      <c r="H122" s="14"/>
      <c r="I122" s="13"/>
      <c r="J122" s="13"/>
      <c r="K122" s="13"/>
      <c r="L122" s="32"/>
      <c r="M122" s="7"/>
      <c r="N122" s="13"/>
      <c r="O122" s="15" t="str">
        <f aca="false">IF($C122="","",IF($E122="Sell to open",1,-1)*$I122*$E$2*$H122)</f>
        <v/>
      </c>
      <c r="P122" s="15" t="str">
        <f aca="false">IF($C122="","",IF($C122="Long call",$F122+$I122,IF($C122="Covered call",$J122-$I122,$F122-$I122)))</f>
        <v/>
      </c>
      <c r="Q122" s="16" t="str">
        <f aca="false">IF($C122="","",IF($AA122="Open",$B$2,IF($M122&lt;&gt;"",$M122,$G122))-$A122)</f>
        <v/>
      </c>
      <c r="R122" s="16" t="str">
        <f aca="false">IF($C122="","",IF($AA122="Open",MAX($G122-$B$2,0),""))</f>
        <v/>
      </c>
      <c r="S122" s="15" t="str">
        <f aca="false">IF(OR($C122="",$AA122="Open"),"",IF($L122="Closed",-IF($E122="Sell to open",1,-1)*$N122*$E$2*$H122,0))</f>
        <v/>
      </c>
      <c r="T122" s="15" t="str">
        <f aca="false">IF(OR($C122="",$AA122="Open"),"",$O122+$S122-$K122)</f>
        <v/>
      </c>
      <c r="U122" s="15" t="str">
        <f aca="false">IF(OR($C122="",$AA122="Open"),"",IF(AND($C122="Covered call",$L122="Assigned"),($F122-$J122)*$E$2*$H122,0))</f>
        <v/>
      </c>
      <c r="V122" s="15" t="str">
        <f aca="false">IF(OR($C122="",$AA122="Open"),"",$T122+$U122)</f>
        <v/>
      </c>
      <c r="W122" s="15" t="str">
        <f aca="false">IF($C122="","",IF(OR($C122="Long call",$C122="Long put"),$I122*$E$2*$H122,(IF($C122="Covered call",$J122,$F122)-$I122)*$E$2*$H122))</f>
        <v/>
      </c>
      <c r="X122" s="17" t="str">
        <f aca="false">IF(OR($C122="",$AA122="Open"),"",IF($W122&gt;0,$V122/$W122,""))</f>
        <v/>
      </c>
      <c r="Y122" s="17" t="str">
        <f aca="false">IF(OR($C122="",$AA122="Open"),"",IF($W122&gt;0,$X122*365/MAX($Q122,1),""))</f>
        <v/>
      </c>
      <c r="Z122" s="18" t="str">
        <f aca="false">IF(OR($C122="",$AA122="Open"),"",IF($M122&lt;&gt;"",$M122,$G122))</f>
        <v/>
      </c>
      <c r="AA122" s="12" t="str">
        <f aca="false">IF($C122="","",IF(OR($L122="Open",$L122=""),"Open","Realized"))</f>
        <v/>
      </c>
    </row>
    <row r="123" customFormat="false" ht="15" hidden="false" customHeight="false" outlineLevel="0" collapsed="false">
      <c r="A123" s="7"/>
      <c r="B123" s="9"/>
      <c r="C123" s="32"/>
      <c r="D123" s="12" t="str">
        <f aca="false">IF($C123="","",IF(OR($C123="Long call",$C123="Covered call"),"Call","Put"))</f>
        <v/>
      </c>
      <c r="E123" s="12" t="str">
        <f aca="false">IF($C123="","",IF(OR($C123="Long call",$C123="Long put"),"Buy to open","Sell to open"))</f>
        <v/>
      </c>
      <c r="F123" s="13"/>
      <c r="G123" s="7"/>
      <c r="H123" s="14"/>
      <c r="I123" s="13"/>
      <c r="J123" s="13"/>
      <c r="K123" s="13"/>
      <c r="L123" s="32"/>
      <c r="M123" s="7"/>
      <c r="N123" s="13"/>
      <c r="O123" s="15" t="str">
        <f aca="false">IF($C123="","",IF($E123="Sell to open",1,-1)*$I123*$E$2*$H123)</f>
        <v/>
      </c>
      <c r="P123" s="15" t="str">
        <f aca="false">IF($C123="","",IF($C123="Long call",$F123+$I123,IF($C123="Covered call",$J123-$I123,$F123-$I123)))</f>
        <v/>
      </c>
      <c r="Q123" s="16" t="str">
        <f aca="false">IF($C123="","",IF($AA123="Open",$B$2,IF($M123&lt;&gt;"",$M123,$G123))-$A123)</f>
        <v/>
      </c>
      <c r="R123" s="16" t="str">
        <f aca="false">IF($C123="","",IF($AA123="Open",MAX($G123-$B$2,0),""))</f>
        <v/>
      </c>
      <c r="S123" s="15" t="str">
        <f aca="false">IF(OR($C123="",$AA123="Open"),"",IF($L123="Closed",-IF($E123="Sell to open",1,-1)*$N123*$E$2*$H123,0))</f>
        <v/>
      </c>
      <c r="T123" s="15" t="str">
        <f aca="false">IF(OR($C123="",$AA123="Open"),"",$O123+$S123-$K123)</f>
        <v/>
      </c>
      <c r="U123" s="15" t="str">
        <f aca="false">IF(OR($C123="",$AA123="Open"),"",IF(AND($C123="Covered call",$L123="Assigned"),($F123-$J123)*$E$2*$H123,0))</f>
        <v/>
      </c>
      <c r="V123" s="15" t="str">
        <f aca="false">IF(OR($C123="",$AA123="Open"),"",$T123+$U123)</f>
        <v/>
      </c>
      <c r="W123" s="15" t="str">
        <f aca="false">IF($C123="","",IF(OR($C123="Long call",$C123="Long put"),$I123*$E$2*$H123,(IF($C123="Covered call",$J123,$F123)-$I123)*$E$2*$H123))</f>
        <v/>
      </c>
      <c r="X123" s="17" t="str">
        <f aca="false">IF(OR($C123="",$AA123="Open"),"",IF($W123&gt;0,$V123/$W123,""))</f>
        <v/>
      </c>
      <c r="Y123" s="17" t="str">
        <f aca="false">IF(OR($C123="",$AA123="Open"),"",IF($W123&gt;0,$X123*365/MAX($Q123,1),""))</f>
        <v/>
      </c>
      <c r="Z123" s="18" t="str">
        <f aca="false">IF(OR($C123="",$AA123="Open"),"",IF($M123&lt;&gt;"",$M123,$G123))</f>
        <v/>
      </c>
      <c r="AA123" s="12" t="str">
        <f aca="false">IF($C123="","",IF(OR($L123="Open",$L123=""),"Open","Realized"))</f>
        <v/>
      </c>
    </row>
    <row r="124" customFormat="false" ht="15" hidden="false" customHeight="false" outlineLevel="0" collapsed="false">
      <c r="A124" s="7"/>
      <c r="B124" s="9"/>
      <c r="C124" s="32"/>
      <c r="D124" s="12" t="str">
        <f aca="false">IF($C124="","",IF(OR($C124="Long call",$C124="Covered call"),"Call","Put"))</f>
        <v/>
      </c>
      <c r="E124" s="12" t="str">
        <f aca="false">IF($C124="","",IF(OR($C124="Long call",$C124="Long put"),"Buy to open","Sell to open"))</f>
        <v/>
      </c>
      <c r="F124" s="13"/>
      <c r="G124" s="7"/>
      <c r="H124" s="14"/>
      <c r="I124" s="13"/>
      <c r="J124" s="13"/>
      <c r="K124" s="13"/>
      <c r="L124" s="32"/>
      <c r="M124" s="7"/>
      <c r="N124" s="13"/>
      <c r="O124" s="15" t="str">
        <f aca="false">IF($C124="","",IF($E124="Sell to open",1,-1)*$I124*$E$2*$H124)</f>
        <v/>
      </c>
      <c r="P124" s="15" t="str">
        <f aca="false">IF($C124="","",IF($C124="Long call",$F124+$I124,IF($C124="Covered call",$J124-$I124,$F124-$I124)))</f>
        <v/>
      </c>
      <c r="Q124" s="16" t="str">
        <f aca="false">IF($C124="","",IF($AA124="Open",$B$2,IF($M124&lt;&gt;"",$M124,$G124))-$A124)</f>
        <v/>
      </c>
      <c r="R124" s="16" t="str">
        <f aca="false">IF($C124="","",IF($AA124="Open",MAX($G124-$B$2,0),""))</f>
        <v/>
      </c>
      <c r="S124" s="15" t="str">
        <f aca="false">IF(OR($C124="",$AA124="Open"),"",IF($L124="Closed",-IF($E124="Sell to open",1,-1)*$N124*$E$2*$H124,0))</f>
        <v/>
      </c>
      <c r="T124" s="15" t="str">
        <f aca="false">IF(OR($C124="",$AA124="Open"),"",$O124+$S124-$K124)</f>
        <v/>
      </c>
      <c r="U124" s="15" t="str">
        <f aca="false">IF(OR($C124="",$AA124="Open"),"",IF(AND($C124="Covered call",$L124="Assigned"),($F124-$J124)*$E$2*$H124,0))</f>
        <v/>
      </c>
      <c r="V124" s="15" t="str">
        <f aca="false">IF(OR($C124="",$AA124="Open"),"",$T124+$U124)</f>
        <v/>
      </c>
      <c r="W124" s="15" t="str">
        <f aca="false">IF($C124="","",IF(OR($C124="Long call",$C124="Long put"),$I124*$E$2*$H124,(IF($C124="Covered call",$J124,$F124)-$I124)*$E$2*$H124))</f>
        <v/>
      </c>
      <c r="X124" s="17" t="str">
        <f aca="false">IF(OR($C124="",$AA124="Open"),"",IF($W124&gt;0,$V124/$W124,""))</f>
        <v/>
      </c>
      <c r="Y124" s="17" t="str">
        <f aca="false">IF(OR($C124="",$AA124="Open"),"",IF($W124&gt;0,$X124*365/MAX($Q124,1),""))</f>
        <v/>
      </c>
      <c r="Z124" s="18" t="str">
        <f aca="false">IF(OR($C124="",$AA124="Open"),"",IF($M124&lt;&gt;"",$M124,$G124))</f>
        <v/>
      </c>
      <c r="AA124" s="12" t="str">
        <f aca="false">IF($C124="","",IF(OR($L124="Open",$L124=""),"Open","Realized"))</f>
        <v/>
      </c>
    </row>
    <row r="125" customFormat="false" ht="15" hidden="false" customHeight="false" outlineLevel="0" collapsed="false">
      <c r="A125" s="7"/>
      <c r="B125" s="9"/>
      <c r="C125" s="32"/>
      <c r="D125" s="12" t="str">
        <f aca="false">IF($C125="","",IF(OR($C125="Long call",$C125="Covered call"),"Call","Put"))</f>
        <v/>
      </c>
      <c r="E125" s="12" t="str">
        <f aca="false">IF($C125="","",IF(OR($C125="Long call",$C125="Long put"),"Buy to open","Sell to open"))</f>
        <v/>
      </c>
      <c r="F125" s="13"/>
      <c r="G125" s="7"/>
      <c r="H125" s="14"/>
      <c r="I125" s="13"/>
      <c r="J125" s="13"/>
      <c r="K125" s="13"/>
      <c r="L125" s="32"/>
      <c r="M125" s="7"/>
      <c r="N125" s="13"/>
      <c r="O125" s="15" t="str">
        <f aca="false">IF($C125="","",IF($E125="Sell to open",1,-1)*$I125*$E$2*$H125)</f>
        <v/>
      </c>
      <c r="P125" s="15" t="str">
        <f aca="false">IF($C125="","",IF($C125="Long call",$F125+$I125,IF($C125="Covered call",$J125-$I125,$F125-$I125)))</f>
        <v/>
      </c>
      <c r="Q125" s="16" t="str">
        <f aca="false">IF($C125="","",IF($AA125="Open",$B$2,IF($M125&lt;&gt;"",$M125,$G125))-$A125)</f>
        <v/>
      </c>
      <c r="R125" s="16" t="str">
        <f aca="false">IF($C125="","",IF($AA125="Open",MAX($G125-$B$2,0),""))</f>
        <v/>
      </c>
      <c r="S125" s="15" t="str">
        <f aca="false">IF(OR($C125="",$AA125="Open"),"",IF($L125="Closed",-IF($E125="Sell to open",1,-1)*$N125*$E$2*$H125,0))</f>
        <v/>
      </c>
      <c r="T125" s="15" t="str">
        <f aca="false">IF(OR($C125="",$AA125="Open"),"",$O125+$S125-$K125)</f>
        <v/>
      </c>
      <c r="U125" s="15" t="str">
        <f aca="false">IF(OR($C125="",$AA125="Open"),"",IF(AND($C125="Covered call",$L125="Assigned"),($F125-$J125)*$E$2*$H125,0))</f>
        <v/>
      </c>
      <c r="V125" s="15" t="str">
        <f aca="false">IF(OR($C125="",$AA125="Open"),"",$T125+$U125)</f>
        <v/>
      </c>
      <c r="W125" s="15" t="str">
        <f aca="false">IF($C125="","",IF(OR($C125="Long call",$C125="Long put"),$I125*$E$2*$H125,(IF($C125="Covered call",$J125,$F125)-$I125)*$E$2*$H125))</f>
        <v/>
      </c>
      <c r="X125" s="17" t="str">
        <f aca="false">IF(OR($C125="",$AA125="Open"),"",IF($W125&gt;0,$V125/$W125,""))</f>
        <v/>
      </c>
      <c r="Y125" s="17" t="str">
        <f aca="false">IF(OR($C125="",$AA125="Open"),"",IF($W125&gt;0,$X125*365/MAX($Q125,1),""))</f>
        <v/>
      </c>
      <c r="Z125" s="18" t="str">
        <f aca="false">IF(OR($C125="",$AA125="Open"),"",IF($M125&lt;&gt;"",$M125,$G125))</f>
        <v/>
      </c>
      <c r="AA125" s="12" t="str">
        <f aca="false">IF($C125="","",IF(OR($L125="Open",$L125=""),"Open","Realized"))</f>
        <v/>
      </c>
    </row>
    <row r="126" customFormat="false" ht="15" hidden="false" customHeight="false" outlineLevel="0" collapsed="false">
      <c r="A126" s="7"/>
      <c r="B126" s="9"/>
      <c r="C126" s="32"/>
      <c r="D126" s="12" t="str">
        <f aca="false">IF($C126="","",IF(OR($C126="Long call",$C126="Covered call"),"Call","Put"))</f>
        <v/>
      </c>
      <c r="E126" s="12" t="str">
        <f aca="false">IF($C126="","",IF(OR($C126="Long call",$C126="Long put"),"Buy to open","Sell to open"))</f>
        <v/>
      </c>
      <c r="F126" s="13"/>
      <c r="G126" s="7"/>
      <c r="H126" s="14"/>
      <c r="I126" s="13"/>
      <c r="J126" s="13"/>
      <c r="K126" s="13"/>
      <c r="L126" s="32"/>
      <c r="M126" s="7"/>
      <c r="N126" s="13"/>
      <c r="O126" s="15" t="str">
        <f aca="false">IF($C126="","",IF($E126="Sell to open",1,-1)*$I126*$E$2*$H126)</f>
        <v/>
      </c>
      <c r="P126" s="15" t="str">
        <f aca="false">IF($C126="","",IF($C126="Long call",$F126+$I126,IF($C126="Covered call",$J126-$I126,$F126-$I126)))</f>
        <v/>
      </c>
      <c r="Q126" s="16" t="str">
        <f aca="false">IF($C126="","",IF($AA126="Open",$B$2,IF($M126&lt;&gt;"",$M126,$G126))-$A126)</f>
        <v/>
      </c>
      <c r="R126" s="16" t="str">
        <f aca="false">IF($C126="","",IF($AA126="Open",MAX($G126-$B$2,0),""))</f>
        <v/>
      </c>
      <c r="S126" s="15" t="str">
        <f aca="false">IF(OR($C126="",$AA126="Open"),"",IF($L126="Closed",-IF($E126="Sell to open",1,-1)*$N126*$E$2*$H126,0))</f>
        <v/>
      </c>
      <c r="T126" s="15" t="str">
        <f aca="false">IF(OR($C126="",$AA126="Open"),"",$O126+$S126-$K126)</f>
        <v/>
      </c>
      <c r="U126" s="15" t="str">
        <f aca="false">IF(OR($C126="",$AA126="Open"),"",IF(AND($C126="Covered call",$L126="Assigned"),($F126-$J126)*$E$2*$H126,0))</f>
        <v/>
      </c>
      <c r="V126" s="15" t="str">
        <f aca="false">IF(OR($C126="",$AA126="Open"),"",$T126+$U126)</f>
        <v/>
      </c>
      <c r="W126" s="15" t="str">
        <f aca="false">IF($C126="","",IF(OR($C126="Long call",$C126="Long put"),$I126*$E$2*$H126,(IF($C126="Covered call",$J126,$F126)-$I126)*$E$2*$H126))</f>
        <v/>
      </c>
      <c r="X126" s="17" t="str">
        <f aca="false">IF(OR($C126="",$AA126="Open"),"",IF($W126&gt;0,$V126/$W126,""))</f>
        <v/>
      </c>
      <c r="Y126" s="17" t="str">
        <f aca="false">IF(OR($C126="",$AA126="Open"),"",IF($W126&gt;0,$X126*365/MAX($Q126,1),""))</f>
        <v/>
      </c>
      <c r="Z126" s="18" t="str">
        <f aca="false">IF(OR($C126="",$AA126="Open"),"",IF($M126&lt;&gt;"",$M126,$G126))</f>
        <v/>
      </c>
      <c r="AA126" s="12" t="str">
        <f aca="false">IF($C126="","",IF(OR($L126="Open",$L126=""),"Open","Realized"))</f>
        <v/>
      </c>
    </row>
    <row r="127" customFormat="false" ht="15" hidden="false" customHeight="false" outlineLevel="0" collapsed="false">
      <c r="A127" s="7"/>
      <c r="B127" s="9"/>
      <c r="C127" s="32"/>
      <c r="D127" s="12" t="str">
        <f aca="false">IF($C127="","",IF(OR($C127="Long call",$C127="Covered call"),"Call","Put"))</f>
        <v/>
      </c>
      <c r="E127" s="12" t="str">
        <f aca="false">IF($C127="","",IF(OR($C127="Long call",$C127="Long put"),"Buy to open","Sell to open"))</f>
        <v/>
      </c>
      <c r="F127" s="13"/>
      <c r="G127" s="7"/>
      <c r="H127" s="14"/>
      <c r="I127" s="13"/>
      <c r="J127" s="13"/>
      <c r="K127" s="13"/>
      <c r="L127" s="32"/>
      <c r="M127" s="7"/>
      <c r="N127" s="13"/>
      <c r="O127" s="15" t="str">
        <f aca="false">IF($C127="","",IF($E127="Sell to open",1,-1)*$I127*$E$2*$H127)</f>
        <v/>
      </c>
      <c r="P127" s="15" t="str">
        <f aca="false">IF($C127="","",IF($C127="Long call",$F127+$I127,IF($C127="Covered call",$J127-$I127,$F127-$I127)))</f>
        <v/>
      </c>
      <c r="Q127" s="16" t="str">
        <f aca="false">IF($C127="","",IF($AA127="Open",$B$2,IF($M127&lt;&gt;"",$M127,$G127))-$A127)</f>
        <v/>
      </c>
      <c r="R127" s="16" t="str">
        <f aca="false">IF($C127="","",IF($AA127="Open",MAX($G127-$B$2,0),""))</f>
        <v/>
      </c>
      <c r="S127" s="15" t="str">
        <f aca="false">IF(OR($C127="",$AA127="Open"),"",IF($L127="Closed",-IF($E127="Sell to open",1,-1)*$N127*$E$2*$H127,0))</f>
        <v/>
      </c>
      <c r="T127" s="15" t="str">
        <f aca="false">IF(OR($C127="",$AA127="Open"),"",$O127+$S127-$K127)</f>
        <v/>
      </c>
      <c r="U127" s="15" t="str">
        <f aca="false">IF(OR($C127="",$AA127="Open"),"",IF(AND($C127="Covered call",$L127="Assigned"),($F127-$J127)*$E$2*$H127,0))</f>
        <v/>
      </c>
      <c r="V127" s="15" t="str">
        <f aca="false">IF(OR($C127="",$AA127="Open"),"",$T127+$U127)</f>
        <v/>
      </c>
      <c r="W127" s="15" t="str">
        <f aca="false">IF($C127="","",IF(OR($C127="Long call",$C127="Long put"),$I127*$E$2*$H127,(IF($C127="Covered call",$J127,$F127)-$I127)*$E$2*$H127))</f>
        <v/>
      </c>
      <c r="X127" s="17" t="str">
        <f aca="false">IF(OR($C127="",$AA127="Open"),"",IF($W127&gt;0,$V127/$W127,""))</f>
        <v/>
      </c>
      <c r="Y127" s="17" t="str">
        <f aca="false">IF(OR($C127="",$AA127="Open"),"",IF($W127&gt;0,$X127*365/MAX($Q127,1),""))</f>
        <v/>
      </c>
      <c r="Z127" s="18" t="str">
        <f aca="false">IF(OR($C127="",$AA127="Open"),"",IF($M127&lt;&gt;"",$M127,$G127))</f>
        <v/>
      </c>
      <c r="AA127" s="12" t="str">
        <f aca="false">IF($C127="","",IF(OR($L127="Open",$L127=""),"Open","Realized"))</f>
        <v/>
      </c>
    </row>
    <row r="128" customFormat="false" ht="15" hidden="false" customHeight="false" outlineLevel="0" collapsed="false">
      <c r="A128" s="7"/>
      <c r="B128" s="9"/>
      <c r="C128" s="32"/>
      <c r="D128" s="12" t="str">
        <f aca="false">IF($C128="","",IF(OR($C128="Long call",$C128="Covered call"),"Call","Put"))</f>
        <v/>
      </c>
      <c r="E128" s="12" t="str">
        <f aca="false">IF($C128="","",IF(OR($C128="Long call",$C128="Long put"),"Buy to open","Sell to open"))</f>
        <v/>
      </c>
      <c r="F128" s="13"/>
      <c r="G128" s="7"/>
      <c r="H128" s="14"/>
      <c r="I128" s="13"/>
      <c r="J128" s="13"/>
      <c r="K128" s="13"/>
      <c r="L128" s="32"/>
      <c r="M128" s="7"/>
      <c r="N128" s="13"/>
      <c r="O128" s="15" t="str">
        <f aca="false">IF($C128="","",IF($E128="Sell to open",1,-1)*$I128*$E$2*$H128)</f>
        <v/>
      </c>
      <c r="P128" s="15" t="str">
        <f aca="false">IF($C128="","",IF($C128="Long call",$F128+$I128,IF($C128="Covered call",$J128-$I128,$F128-$I128)))</f>
        <v/>
      </c>
      <c r="Q128" s="16" t="str">
        <f aca="false">IF($C128="","",IF($AA128="Open",$B$2,IF($M128&lt;&gt;"",$M128,$G128))-$A128)</f>
        <v/>
      </c>
      <c r="R128" s="16" t="str">
        <f aca="false">IF($C128="","",IF($AA128="Open",MAX($G128-$B$2,0),""))</f>
        <v/>
      </c>
      <c r="S128" s="15" t="str">
        <f aca="false">IF(OR($C128="",$AA128="Open"),"",IF($L128="Closed",-IF($E128="Sell to open",1,-1)*$N128*$E$2*$H128,0))</f>
        <v/>
      </c>
      <c r="T128" s="15" t="str">
        <f aca="false">IF(OR($C128="",$AA128="Open"),"",$O128+$S128-$K128)</f>
        <v/>
      </c>
      <c r="U128" s="15" t="str">
        <f aca="false">IF(OR($C128="",$AA128="Open"),"",IF(AND($C128="Covered call",$L128="Assigned"),($F128-$J128)*$E$2*$H128,0))</f>
        <v/>
      </c>
      <c r="V128" s="15" t="str">
        <f aca="false">IF(OR($C128="",$AA128="Open"),"",$T128+$U128)</f>
        <v/>
      </c>
      <c r="W128" s="15" t="str">
        <f aca="false">IF($C128="","",IF(OR($C128="Long call",$C128="Long put"),$I128*$E$2*$H128,(IF($C128="Covered call",$J128,$F128)-$I128)*$E$2*$H128))</f>
        <v/>
      </c>
      <c r="X128" s="17" t="str">
        <f aca="false">IF(OR($C128="",$AA128="Open"),"",IF($W128&gt;0,$V128/$W128,""))</f>
        <v/>
      </c>
      <c r="Y128" s="17" t="str">
        <f aca="false">IF(OR($C128="",$AA128="Open"),"",IF($W128&gt;0,$X128*365/MAX($Q128,1),""))</f>
        <v/>
      </c>
      <c r="Z128" s="18" t="str">
        <f aca="false">IF(OR($C128="",$AA128="Open"),"",IF($M128&lt;&gt;"",$M128,$G128))</f>
        <v/>
      </c>
      <c r="AA128" s="12" t="str">
        <f aca="false">IF($C128="","",IF(OR($L128="Open",$L128=""),"Open","Realized"))</f>
        <v/>
      </c>
    </row>
    <row r="129" customFormat="false" ht="15" hidden="false" customHeight="false" outlineLevel="0" collapsed="false">
      <c r="A129" s="7"/>
      <c r="B129" s="9"/>
      <c r="C129" s="32"/>
      <c r="D129" s="12" t="str">
        <f aca="false">IF($C129="","",IF(OR($C129="Long call",$C129="Covered call"),"Call","Put"))</f>
        <v/>
      </c>
      <c r="E129" s="12" t="str">
        <f aca="false">IF($C129="","",IF(OR($C129="Long call",$C129="Long put"),"Buy to open","Sell to open"))</f>
        <v/>
      </c>
      <c r="F129" s="13"/>
      <c r="G129" s="7"/>
      <c r="H129" s="14"/>
      <c r="I129" s="13"/>
      <c r="J129" s="13"/>
      <c r="K129" s="13"/>
      <c r="L129" s="32"/>
      <c r="M129" s="7"/>
      <c r="N129" s="13"/>
      <c r="O129" s="15" t="str">
        <f aca="false">IF($C129="","",IF($E129="Sell to open",1,-1)*$I129*$E$2*$H129)</f>
        <v/>
      </c>
      <c r="P129" s="15" t="str">
        <f aca="false">IF($C129="","",IF($C129="Long call",$F129+$I129,IF($C129="Covered call",$J129-$I129,$F129-$I129)))</f>
        <v/>
      </c>
      <c r="Q129" s="16" t="str">
        <f aca="false">IF($C129="","",IF($AA129="Open",$B$2,IF($M129&lt;&gt;"",$M129,$G129))-$A129)</f>
        <v/>
      </c>
      <c r="R129" s="16" t="str">
        <f aca="false">IF($C129="","",IF($AA129="Open",MAX($G129-$B$2,0),""))</f>
        <v/>
      </c>
      <c r="S129" s="15" t="str">
        <f aca="false">IF(OR($C129="",$AA129="Open"),"",IF($L129="Closed",-IF($E129="Sell to open",1,-1)*$N129*$E$2*$H129,0))</f>
        <v/>
      </c>
      <c r="T129" s="15" t="str">
        <f aca="false">IF(OR($C129="",$AA129="Open"),"",$O129+$S129-$K129)</f>
        <v/>
      </c>
      <c r="U129" s="15" t="str">
        <f aca="false">IF(OR($C129="",$AA129="Open"),"",IF(AND($C129="Covered call",$L129="Assigned"),($F129-$J129)*$E$2*$H129,0))</f>
        <v/>
      </c>
      <c r="V129" s="15" t="str">
        <f aca="false">IF(OR($C129="",$AA129="Open"),"",$T129+$U129)</f>
        <v/>
      </c>
      <c r="W129" s="15" t="str">
        <f aca="false">IF($C129="","",IF(OR($C129="Long call",$C129="Long put"),$I129*$E$2*$H129,(IF($C129="Covered call",$J129,$F129)-$I129)*$E$2*$H129))</f>
        <v/>
      </c>
      <c r="X129" s="17" t="str">
        <f aca="false">IF(OR($C129="",$AA129="Open"),"",IF($W129&gt;0,$V129/$W129,""))</f>
        <v/>
      </c>
      <c r="Y129" s="17" t="str">
        <f aca="false">IF(OR($C129="",$AA129="Open"),"",IF($W129&gt;0,$X129*365/MAX($Q129,1),""))</f>
        <v/>
      </c>
      <c r="Z129" s="18" t="str">
        <f aca="false">IF(OR($C129="",$AA129="Open"),"",IF($M129&lt;&gt;"",$M129,$G129))</f>
        <v/>
      </c>
      <c r="AA129" s="12" t="str">
        <f aca="false">IF($C129="","",IF(OR($L129="Open",$L129=""),"Open","Realized"))</f>
        <v/>
      </c>
    </row>
    <row r="130" customFormat="false" ht="15" hidden="false" customHeight="false" outlineLevel="0" collapsed="false">
      <c r="A130" s="7"/>
      <c r="B130" s="9"/>
      <c r="C130" s="32"/>
      <c r="D130" s="12" t="str">
        <f aca="false">IF($C130="","",IF(OR($C130="Long call",$C130="Covered call"),"Call","Put"))</f>
        <v/>
      </c>
      <c r="E130" s="12" t="str">
        <f aca="false">IF($C130="","",IF(OR($C130="Long call",$C130="Long put"),"Buy to open","Sell to open"))</f>
        <v/>
      </c>
      <c r="F130" s="13"/>
      <c r="G130" s="7"/>
      <c r="H130" s="14"/>
      <c r="I130" s="13"/>
      <c r="J130" s="13"/>
      <c r="K130" s="13"/>
      <c r="L130" s="32"/>
      <c r="M130" s="7"/>
      <c r="N130" s="13"/>
      <c r="O130" s="15" t="str">
        <f aca="false">IF($C130="","",IF($E130="Sell to open",1,-1)*$I130*$E$2*$H130)</f>
        <v/>
      </c>
      <c r="P130" s="15" t="str">
        <f aca="false">IF($C130="","",IF($C130="Long call",$F130+$I130,IF($C130="Covered call",$J130-$I130,$F130-$I130)))</f>
        <v/>
      </c>
      <c r="Q130" s="16" t="str">
        <f aca="false">IF($C130="","",IF($AA130="Open",$B$2,IF($M130&lt;&gt;"",$M130,$G130))-$A130)</f>
        <v/>
      </c>
      <c r="R130" s="16" t="str">
        <f aca="false">IF($C130="","",IF($AA130="Open",MAX($G130-$B$2,0),""))</f>
        <v/>
      </c>
      <c r="S130" s="15" t="str">
        <f aca="false">IF(OR($C130="",$AA130="Open"),"",IF($L130="Closed",-IF($E130="Sell to open",1,-1)*$N130*$E$2*$H130,0))</f>
        <v/>
      </c>
      <c r="T130" s="15" t="str">
        <f aca="false">IF(OR($C130="",$AA130="Open"),"",$O130+$S130-$K130)</f>
        <v/>
      </c>
      <c r="U130" s="15" t="str">
        <f aca="false">IF(OR($C130="",$AA130="Open"),"",IF(AND($C130="Covered call",$L130="Assigned"),($F130-$J130)*$E$2*$H130,0))</f>
        <v/>
      </c>
      <c r="V130" s="15" t="str">
        <f aca="false">IF(OR($C130="",$AA130="Open"),"",$T130+$U130)</f>
        <v/>
      </c>
      <c r="W130" s="15" t="str">
        <f aca="false">IF($C130="","",IF(OR($C130="Long call",$C130="Long put"),$I130*$E$2*$H130,(IF($C130="Covered call",$J130,$F130)-$I130)*$E$2*$H130))</f>
        <v/>
      </c>
      <c r="X130" s="17" t="str">
        <f aca="false">IF(OR($C130="",$AA130="Open"),"",IF($W130&gt;0,$V130/$W130,""))</f>
        <v/>
      </c>
      <c r="Y130" s="17" t="str">
        <f aca="false">IF(OR($C130="",$AA130="Open"),"",IF($W130&gt;0,$X130*365/MAX($Q130,1),""))</f>
        <v/>
      </c>
      <c r="Z130" s="18" t="str">
        <f aca="false">IF(OR($C130="",$AA130="Open"),"",IF($M130&lt;&gt;"",$M130,$G130))</f>
        <v/>
      </c>
      <c r="AA130" s="12" t="str">
        <f aca="false">IF($C130="","",IF(OR($L130="Open",$L130=""),"Open","Realized"))</f>
        <v/>
      </c>
    </row>
    <row r="131" customFormat="false" ht="15" hidden="false" customHeight="false" outlineLevel="0" collapsed="false">
      <c r="A131" s="7"/>
      <c r="B131" s="9"/>
      <c r="C131" s="32"/>
      <c r="D131" s="12" t="str">
        <f aca="false">IF($C131="","",IF(OR($C131="Long call",$C131="Covered call"),"Call","Put"))</f>
        <v/>
      </c>
      <c r="E131" s="12" t="str">
        <f aca="false">IF($C131="","",IF(OR($C131="Long call",$C131="Long put"),"Buy to open","Sell to open"))</f>
        <v/>
      </c>
      <c r="F131" s="13"/>
      <c r="G131" s="7"/>
      <c r="H131" s="14"/>
      <c r="I131" s="13"/>
      <c r="J131" s="13"/>
      <c r="K131" s="13"/>
      <c r="L131" s="32"/>
      <c r="M131" s="7"/>
      <c r="N131" s="13"/>
      <c r="O131" s="15" t="str">
        <f aca="false">IF($C131="","",IF($E131="Sell to open",1,-1)*$I131*$E$2*$H131)</f>
        <v/>
      </c>
      <c r="P131" s="15" t="str">
        <f aca="false">IF($C131="","",IF($C131="Long call",$F131+$I131,IF($C131="Covered call",$J131-$I131,$F131-$I131)))</f>
        <v/>
      </c>
      <c r="Q131" s="16" t="str">
        <f aca="false">IF($C131="","",IF($AA131="Open",$B$2,IF($M131&lt;&gt;"",$M131,$G131))-$A131)</f>
        <v/>
      </c>
      <c r="R131" s="16" t="str">
        <f aca="false">IF($C131="","",IF($AA131="Open",MAX($G131-$B$2,0),""))</f>
        <v/>
      </c>
      <c r="S131" s="15" t="str">
        <f aca="false">IF(OR($C131="",$AA131="Open"),"",IF($L131="Closed",-IF($E131="Sell to open",1,-1)*$N131*$E$2*$H131,0))</f>
        <v/>
      </c>
      <c r="T131" s="15" t="str">
        <f aca="false">IF(OR($C131="",$AA131="Open"),"",$O131+$S131-$K131)</f>
        <v/>
      </c>
      <c r="U131" s="15" t="str">
        <f aca="false">IF(OR($C131="",$AA131="Open"),"",IF(AND($C131="Covered call",$L131="Assigned"),($F131-$J131)*$E$2*$H131,0))</f>
        <v/>
      </c>
      <c r="V131" s="15" t="str">
        <f aca="false">IF(OR($C131="",$AA131="Open"),"",$T131+$U131)</f>
        <v/>
      </c>
      <c r="W131" s="15" t="str">
        <f aca="false">IF($C131="","",IF(OR($C131="Long call",$C131="Long put"),$I131*$E$2*$H131,(IF($C131="Covered call",$J131,$F131)-$I131)*$E$2*$H131))</f>
        <v/>
      </c>
      <c r="X131" s="17" t="str">
        <f aca="false">IF(OR($C131="",$AA131="Open"),"",IF($W131&gt;0,$V131/$W131,""))</f>
        <v/>
      </c>
      <c r="Y131" s="17" t="str">
        <f aca="false">IF(OR($C131="",$AA131="Open"),"",IF($W131&gt;0,$X131*365/MAX($Q131,1),""))</f>
        <v/>
      </c>
      <c r="Z131" s="18" t="str">
        <f aca="false">IF(OR($C131="",$AA131="Open"),"",IF($M131&lt;&gt;"",$M131,$G131))</f>
        <v/>
      </c>
      <c r="AA131" s="12" t="str">
        <f aca="false">IF($C131="","",IF(OR($L131="Open",$L131=""),"Open","Realized"))</f>
        <v/>
      </c>
    </row>
    <row r="132" customFormat="false" ht="15" hidden="false" customHeight="false" outlineLevel="0" collapsed="false">
      <c r="A132" s="7"/>
      <c r="B132" s="9"/>
      <c r="C132" s="32"/>
      <c r="D132" s="12" t="str">
        <f aca="false">IF($C132="","",IF(OR($C132="Long call",$C132="Covered call"),"Call","Put"))</f>
        <v/>
      </c>
      <c r="E132" s="12" t="str">
        <f aca="false">IF($C132="","",IF(OR($C132="Long call",$C132="Long put"),"Buy to open","Sell to open"))</f>
        <v/>
      </c>
      <c r="F132" s="13"/>
      <c r="G132" s="7"/>
      <c r="H132" s="14"/>
      <c r="I132" s="13"/>
      <c r="J132" s="13"/>
      <c r="K132" s="13"/>
      <c r="L132" s="32"/>
      <c r="M132" s="7"/>
      <c r="N132" s="13"/>
      <c r="O132" s="15" t="str">
        <f aca="false">IF($C132="","",IF($E132="Sell to open",1,-1)*$I132*$E$2*$H132)</f>
        <v/>
      </c>
      <c r="P132" s="15" t="str">
        <f aca="false">IF($C132="","",IF($C132="Long call",$F132+$I132,IF($C132="Covered call",$J132-$I132,$F132-$I132)))</f>
        <v/>
      </c>
      <c r="Q132" s="16" t="str">
        <f aca="false">IF($C132="","",IF($AA132="Open",$B$2,IF($M132&lt;&gt;"",$M132,$G132))-$A132)</f>
        <v/>
      </c>
      <c r="R132" s="16" t="str">
        <f aca="false">IF($C132="","",IF($AA132="Open",MAX($G132-$B$2,0),""))</f>
        <v/>
      </c>
      <c r="S132" s="15" t="str">
        <f aca="false">IF(OR($C132="",$AA132="Open"),"",IF($L132="Closed",-IF($E132="Sell to open",1,-1)*$N132*$E$2*$H132,0))</f>
        <v/>
      </c>
      <c r="T132" s="15" t="str">
        <f aca="false">IF(OR($C132="",$AA132="Open"),"",$O132+$S132-$K132)</f>
        <v/>
      </c>
      <c r="U132" s="15" t="str">
        <f aca="false">IF(OR($C132="",$AA132="Open"),"",IF(AND($C132="Covered call",$L132="Assigned"),($F132-$J132)*$E$2*$H132,0))</f>
        <v/>
      </c>
      <c r="V132" s="15" t="str">
        <f aca="false">IF(OR($C132="",$AA132="Open"),"",$T132+$U132)</f>
        <v/>
      </c>
      <c r="W132" s="15" t="str">
        <f aca="false">IF($C132="","",IF(OR($C132="Long call",$C132="Long put"),$I132*$E$2*$H132,(IF($C132="Covered call",$J132,$F132)-$I132)*$E$2*$H132))</f>
        <v/>
      </c>
      <c r="X132" s="17" t="str">
        <f aca="false">IF(OR($C132="",$AA132="Open"),"",IF($W132&gt;0,$V132/$W132,""))</f>
        <v/>
      </c>
      <c r="Y132" s="17" t="str">
        <f aca="false">IF(OR($C132="",$AA132="Open"),"",IF($W132&gt;0,$X132*365/MAX($Q132,1),""))</f>
        <v/>
      </c>
      <c r="Z132" s="18" t="str">
        <f aca="false">IF(OR($C132="",$AA132="Open"),"",IF($M132&lt;&gt;"",$M132,$G132))</f>
        <v/>
      </c>
      <c r="AA132" s="12" t="str">
        <f aca="false">IF($C132="","",IF(OR($L132="Open",$L132=""),"Open","Realized"))</f>
        <v/>
      </c>
    </row>
    <row r="133" customFormat="false" ht="15" hidden="false" customHeight="false" outlineLevel="0" collapsed="false">
      <c r="A133" s="7"/>
      <c r="B133" s="9"/>
      <c r="C133" s="32"/>
      <c r="D133" s="12" t="str">
        <f aca="false">IF($C133="","",IF(OR($C133="Long call",$C133="Covered call"),"Call","Put"))</f>
        <v/>
      </c>
      <c r="E133" s="12" t="str">
        <f aca="false">IF($C133="","",IF(OR($C133="Long call",$C133="Long put"),"Buy to open","Sell to open"))</f>
        <v/>
      </c>
      <c r="F133" s="13"/>
      <c r="G133" s="7"/>
      <c r="H133" s="14"/>
      <c r="I133" s="13"/>
      <c r="J133" s="13"/>
      <c r="K133" s="13"/>
      <c r="L133" s="32"/>
      <c r="M133" s="7"/>
      <c r="N133" s="13"/>
      <c r="O133" s="15" t="str">
        <f aca="false">IF($C133="","",IF($E133="Sell to open",1,-1)*$I133*$E$2*$H133)</f>
        <v/>
      </c>
      <c r="P133" s="15" t="str">
        <f aca="false">IF($C133="","",IF($C133="Long call",$F133+$I133,IF($C133="Covered call",$J133-$I133,$F133-$I133)))</f>
        <v/>
      </c>
      <c r="Q133" s="16" t="str">
        <f aca="false">IF($C133="","",IF($AA133="Open",$B$2,IF($M133&lt;&gt;"",$M133,$G133))-$A133)</f>
        <v/>
      </c>
      <c r="R133" s="16" t="str">
        <f aca="false">IF($C133="","",IF($AA133="Open",MAX($G133-$B$2,0),""))</f>
        <v/>
      </c>
      <c r="S133" s="15" t="str">
        <f aca="false">IF(OR($C133="",$AA133="Open"),"",IF($L133="Closed",-IF($E133="Sell to open",1,-1)*$N133*$E$2*$H133,0))</f>
        <v/>
      </c>
      <c r="T133" s="15" t="str">
        <f aca="false">IF(OR($C133="",$AA133="Open"),"",$O133+$S133-$K133)</f>
        <v/>
      </c>
      <c r="U133" s="15" t="str">
        <f aca="false">IF(OR($C133="",$AA133="Open"),"",IF(AND($C133="Covered call",$L133="Assigned"),($F133-$J133)*$E$2*$H133,0))</f>
        <v/>
      </c>
      <c r="V133" s="15" t="str">
        <f aca="false">IF(OR($C133="",$AA133="Open"),"",$T133+$U133)</f>
        <v/>
      </c>
      <c r="W133" s="15" t="str">
        <f aca="false">IF($C133="","",IF(OR($C133="Long call",$C133="Long put"),$I133*$E$2*$H133,(IF($C133="Covered call",$J133,$F133)-$I133)*$E$2*$H133))</f>
        <v/>
      </c>
      <c r="X133" s="17" t="str">
        <f aca="false">IF(OR($C133="",$AA133="Open"),"",IF($W133&gt;0,$V133/$W133,""))</f>
        <v/>
      </c>
      <c r="Y133" s="17" t="str">
        <f aca="false">IF(OR($C133="",$AA133="Open"),"",IF($W133&gt;0,$X133*365/MAX($Q133,1),""))</f>
        <v/>
      </c>
      <c r="Z133" s="18" t="str">
        <f aca="false">IF(OR($C133="",$AA133="Open"),"",IF($M133&lt;&gt;"",$M133,$G133))</f>
        <v/>
      </c>
      <c r="AA133" s="12" t="str">
        <f aca="false">IF($C133="","",IF(OR($L133="Open",$L133=""),"Open","Realized"))</f>
        <v/>
      </c>
    </row>
    <row r="134" customFormat="false" ht="15" hidden="false" customHeight="false" outlineLevel="0" collapsed="false">
      <c r="A134" s="7"/>
      <c r="B134" s="9"/>
      <c r="C134" s="32"/>
      <c r="D134" s="12" t="str">
        <f aca="false">IF($C134="","",IF(OR($C134="Long call",$C134="Covered call"),"Call","Put"))</f>
        <v/>
      </c>
      <c r="E134" s="12" t="str">
        <f aca="false">IF($C134="","",IF(OR($C134="Long call",$C134="Long put"),"Buy to open","Sell to open"))</f>
        <v/>
      </c>
      <c r="F134" s="13"/>
      <c r="G134" s="7"/>
      <c r="H134" s="14"/>
      <c r="I134" s="13"/>
      <c r="J134" s="13"/>
      <c r="K134" s="13"/>
      <c r="L134" s="32"/>
      <c r="M134" s="7"/>
      <c r="N134" s="13"/>
      <c r="O134" s="15" t="str">
        <f aca="false">IF($C134="","",IF($E134="Sell to open",1,-1)*$I134*$E$2*$H134)</f>
        <v/>
      </c>
      <c r="P134" s="15" t="str">
        <f aca="false">IF($C134="","",IF($C134="Long call",$F134+$I134,IF($C134="Covered call",$J134-$I134,$F134-$I134)))</f>
        <v/>
      </c>
      <c r="Q134" s="16" t="str">
        <f aca="false">IF($C134="","",IF($AA134="Open",$B$2,IF($M134&lt;&gt;"",$M134,$G134))-$A134)</f>
        <v/>
      </c>
      <c r="R134" s="16" t="str">
        <f aca="false">IF($C134="","",IF($AA134="Open",MAX($G134-$B$2,0),""))</f>
        <v/>
      </c>
      <c r="S134" s="15" t="str">
        <f aca="false">IF(OR($C134="",$AA134="Open"),"",IF($L134="Closed",-IF($E134="Sell to open",1,-1)*$N134*$E$2*$H134,0))</f>
        <v/>
      </c>
      <c r="T134" s="15" t="str">
        <f aca="false">IF(OR($C134="",$AA134="Open"),"",$O134+$S134-$K134)</f>
        <v/>
      </c>
      <c r="U134" s="15" t="str">
        <f aca="false">IF(OR($C134="",$AA134="Open"),"",IF(AND($C134="Covered call",$L134="Assigned"),($F134-$J134)*$E$2*$H134,0))</f>
        <v/>
      </c>
      <c r="V134" s="15" t="str">
        <f aca="false">IF(OR($C134="",$AA134="Open"),"",$T134+$U134)</f>
        <v/>
      </c>
      <c r="W134" s="15" t="str">
        <f aca="false">IF($C134="","",IF(OR($C134="Long call",$C134="Long put"),$I134*$E$2*$H134,(IF($C134="Covered call",$J134,$F134)-$I134)*$E$2*$H134))</f>
        <v/>
      </c>
      <c r="X134" s="17" t="str">
        <f aca="false">IF(OR($C134="",$AA134="Open"),"",IF($W134&gt;0,$V134/$W134,""))</f>
        <v/>
      </c>
      <c r="Y134" s="17" t="str">
        <f aca="false">IF(OR($C134="",$AA134="Open"),"",IF($W134&gt;0,$X134*365/MAX($Q134,1),""))</f>
        <v/>
      </c>
      <c r="Z134" s="18" t="str">
        <f aca="false">IF(OR($C134="",$AA134="Open"),"",IF($M134&lt;&gt;"",$M134,$G134))</f>
        <v/>
      </c>
      <c r="AA134" s="12" t="str">
        <f aca="false">IF($C134="","",IF(OR($L134="Open",$L134=""),"Open","Realized"))</f>
        <v/>
      </c>
    </row>
    <row r="135" customFormat="false" ht="15" hidden="false" customHeight="false" outlineLevel="0" collapsed="false">
      <c r="A135" s="7"/>
      <c r="B135" s="9"/>
      <c r="C135" s="32"/>
      <c r="D135" s="12" t="str">
        <f aca="false">IF($C135="","",IF(OR($C135="Long call",$C135="Covered call"),"Call","Put"))</f>
        <v/>
      </c>
      <c r="E135" s="12" t="str">
        <f aca="false">IF($C135="","",IF(OR($C135="Long call",$C135="Long put"),"Buy to open","Sell to open"))</f>
        <v/>
      </c>
      <c r="F135" s="13"/>
      <c r="G135" s="7"/>
      <c r="H135" s="14"/>
      <c r="I135" s="13"/>
      <c r="J135" s="13"/>
      <c r="K135" s="13"/>
      <c r="L135" s="32"/>
      <c r="M135" s="7"/>
      <c r="N135" s="13"/>
      <c r="O135" s="15" t="str">
        <f aca="false">IF($C135="","",IF($E135="Sell to open",1,-1)*$I135*$E$2*$H135)</f>
        <v/>
      </c>
      <c r="P135" s="15" t="str">
        <f aca="false">IF($C135="","",IF($C135="Long call",$F135+$I135,IF($C135="Covered call",$J135-$I135,$F135-$I135)))</f>
        <v/>
      </c>
      <c r="Q135" s="16" t="str">
        <f aca="false">IF($C135="","",IF($AA135="Open",$B$2,IF($M135&lt;&gt;"",$M135,$G135))-$A135)</f>
        <v/>
      </c>
      <c r="R135" s="16" t="str">
        <f aca="false">IF($C135="","",IF($AA135="Open",MAX($G135-$B$2,0),""))</f>
        <v/>
      </c>
      <c r="S135" s="15" t="str">
        <f aca="false">IF(OR($C135="",$AA135="Open"),"",IF($L135="Closed",-IF($E135="Sell to open",1,-1)*$N135*$E$2*$H135,0))</f>
        <v/>
      </c>
      <c r="T135" s="15" t="str">
        <f aca="false">IF(OR($C135="",$AA135="Open"),"",$O135+$S135-$K135)</f>
        <v/>
      </c>
      <c r="U135" s="15" t="str">
        <f aca="false">IF(OR($C135="",$AA135="Open"),"",IF(AND($C135="Covered call",$L135="Assigned"),($F135-$J135)*$E$2*$H135,0))</f>
        <v/>
      </c>
      <c r="V135" s="15" t="str">
        <f aca="false">IF(OR($C135="",$AA135="Open"),"",$T135+$U135)</f>
        <v/>
      </c>
      <c r="W135" s="15" t="str">
        <f aca="false">IF($C135="","",IF(OR($C135="Long call",$C135="Long put"),$I135*$E$2*$H135,(IF($C135="Covered call",$J135,$F135)-$I135)*$E$2*$H135))</f>
        <v/>
      </c>
      <c r="X135" s="17" t="str">
        <f aca="false">IF(OR($C135="",$AA135="Open"),"",IF($W135&gt;0,$V135/$W135,""))</f>
        <v/>
      </c>
      <c r="Y135" s="17" t="str">
        <f aca="false">IF(OR($C135="",$AA135="Open"),"",IF($W135&gt;0,$X135*365/MAX($Q135,1),""))</f>
        <v/>
      </c>
      <c r="Z135" s="18" t="str">
        <f aca="false">IF(OR($C135="",$AA135="Open"),"",IF($M135&lt;&gt;"",$M135,$G135))</f>
        <v/>
      </c>
      <c r="AA135" s="12" t="str">
        <f aca="false">IF($C135="","",IF(OR($L135="Open",$L135=""),"Open","Realized"))</f>
        <v/>
      </c>
    </row>
    <row r="136" customFormat="false" ht="15" hidden="false" customHeight="false" outlineLevel="0" collapsed="false">
      <c r="A136" s="7"/>
      <c r="B136" s="9"/>
      <c r="C136" s="32"/>
      <c r="D136" s="12" t="str">
        <f aca="false">IF($C136="","",IF(OR($C136="Long call",$C136="Covered call"),"Call","Put"))</f>
        <v/>
      </c>
      <c r="E136" s="12" t="str">
        <f aca="false">IF($C136="","",IF(OR($C136="Long call",$C136="Long put"),"Buy to open","Sell to open"))</f>
        <v/>
      </c>
      <c r="F136" s="13"/>
      <c r="G136" s="7"/>
      <c r="H136" s="14"/>
      <c r="I136" s="13"/>
      <c r="J136" s="13"/>
      <c r="K136" s="13"/>
      <c r="L136" s="32"/>
      <c r="M136" s="7"/>
      <c r="N136" s="13"/>
      <c r="O136" s="15" t="str">
        <f aca="false">IF($C136="","",IF($E136="Sell to open",1,-1)*$I136*$E$2*$H136)</f>
        <v/>
      </c>
      <c r="P136" s="15" t="str">
        <f aca="false">IF($C136="","",IF($C136="Long call",$F136+$I136,IF($C136="Covered call",$J136-$I136,$F136-$I136)))</f>
        <v/>
      </c>
      <c r="Q136" s="16" t="str">
        <f aca="false">IF($C136="","",IF($AA136="Open",$B$2,IF($M136&lt;&gt;"",$M136,$G136))-$A136)</f>
        <v/>
      </c>
      <c r="R136" s="16" t="str">
        <f aca="false">IF($C136="","",IF($AA136="Open",MAX($G136-$B$2,0),""))</f>
        <v/>
      </c>
      <c r="S136" s="15" t="str">
        <f aca="false">IF(OR($C136="",$AA136="Open"),"",IF($L136="Closed",-IF($E136="Sell to open",1,-1)*$N136*$E$2*$H136,0))</f>
        <v/>
      </c>
      <c r="T136" s="15" t="str">
        <f aca="false">IF(OR($C136="",$AA136="Open"),"",$O136+$S136-$K136)</f>
        <v/>
      </c>
      <c r="U136" s="15" t="str">
        <f aca="false">IF(OR($C136="",$AA136="Open"),"",IF(AND($C136="Covered call",$L136="Assigned"),($F136-$J136)*$E$2*$H136,0))</f>
        <v/>
      </c>
      <c r="V136" s="15" t="str">
        <f aca="false">IF(OR($C136="",$AA136="Open"),"",$T136+$U136)</f>
        <v/>
      </c>
      <c r="W136" s="15" t="str">
        <f aca="false">IF($C136="","",IF(OR($C136="Long call",$C136="Long put"),$I136*$E$2*$H136,(IF($C136="Covered call",$J136,$F136)-$I136)*$E$2*$H136))</f>
        <v/>
      </c>
      <c r="X136" s="17" t="str">
        <f aca="false">IF(OR($C136="",$AA136="Open"),"",IF($W136&gt;0,$V136/$W136,""))</f>
        <v/>
      </c>
      <c r="Y136" s="17" t="str">
        <f aca="false">IF(OR($C136="",$AA136="Open"),"",IF($W136&gt;0,$X136*365/MAX($Q136,1),""))</f>
        <v/>
      </c>
      <c r="Z136" s="18" t="str">
        <f aca="false">IF(OR($C136="",$AA136="Open"),"",IF($M136&lt;&gt;"",$M136,$G136))</f>
        <v/>
      </c>
      <c r="AA136" s="12" t="str">
        <f aca="false">IF($C136="","",IF(OR($L136="Open",$L136=""),"Open","Realized"))</f>
        <v/>
      </c>
    </row>
    <row r="137" customFormat="false" ht="15" hidden="false" customHeight="false" outlineLevel="0" collapsed="false">
      <c r="A137" s="7"/>
      <c r="B137" s="9"/>
      <c r="C137" s="32"/>
      <c r="D137" s="12" t="str">
        <f aca="false">IF($C137="","",IF(OR($C137="Long call",$C137="Covered call"),"Call","Put"))</f>
        <v/>
      </c>
      <c r="E137" s="12" t="str">
        <f aca="false">IF($C137="","",IF(OR($C137="Long call",$C137="Long put"),"Buy to open","Sell to open"))</f>
        <v/>
      </c>
      <c r="F137" s="13"/>
      <c r="G137" s="7"/>
      <c r="H137" s="14"/>
      <c r="I137" s="13"/>
      <c r="J137" s="13"/>
      <c r="K137" s="13"/>
      <c r="L137" s="32"/>
      <c r="M137" s="7"/>
      <c r="N137" s="13"/>
      <c r="O137" s="15" t="str">
        <f aca="false">IF($C137="","",IF($E137="Sell to open",1,-1)*$I137*$E$2*$H137)</f>
        <v/>
      </c>
      <c r="P137" s="15" t="str">
        <f aca="false">IF($C137="","",IF($C137="Long call",$F137+$I137,IF($C137="Covered call",$J137-$I137,$F137-$I137)))</f>
        <v/>
      </c>
      <c r="Q137" s="16" t="str">
        <f aca="false">IF($C137="","",IF($AA137="Open",$B$2,IF($M137&lt;&gt;"",$M137,$G137))-$A137)</f>
        <v/>
      </c>
      <c r="R137" s="16" t="str">
        <f aca="false">IF($C137="","",IF($AA137="Open",MAX($G137-$B$2,0),""))</f>
        <v/>
      </c>
      <c r="S137" s="15" t="str">
        <f aca="false">IF(OR($C137="",$AA137="Open"),"",IF($L137="Closed",-IF($E137="Sell to open",1,-1)*$N137*$E$2*$H137,0))</f>
        <v/>
      </c>
      <c r="T137" s="15" t="str">
        <f aca="false">IF(OR($C137="",$AA137="Open"),"",$O137+$S137-$K137)</f>
        <v/>
      </c>
      <c r="U137" s="15" t="str">
        <f aca="false">IF(OR($C137="",$AA137="Open"),"",IF(AND($C137="Covered call",$L137="Assigned"),($F137-$J137)*$E$2*$H137,0))</f>
        <v/>
      </c>
      <c r="V137" s="15" t="str">
        <f aca="false">IF(OR($C137="",$AA137="Open"),"",$T137+$U137)</f>
        <v/>
      </c>
      <c r="W137" s="15" t="str">
        <f aca="false">IF($C137="","",IF(OR($C137="Long call",$C137="Long put"),$I137*$E$2*$H137,(IF($C137="Covered call",$J137,$F137)-$I137)*$E$2*$H137))</f>
        <v/>
      </c>
      <c r="X137" s="17" t="str">
        <f aca="false">IF(OR($C137="",$AA137="Open"),"",IF($W137&gt;0,$V137/$W137,""))</f>
        <v/>
      </c>
      <c r="Y137" s="17" t="str">
        <f aca="false">IF(OR($C137="",$AA137="Open"),"",IF($W137&gt;0,$X137*365/MAX($Q137,1),""))</f>
        <v/>
      </c>
      <c r="Z137" s="18" t="str">
        <f aca="false">IF(OR($C137="",$AA137="Open"),"",IF($M137&lt;&gt;"",$M137,$G137))</f>
        <v/>
      </c>
      <c r="AA137" s="12" t="str">
        <f aca="false">IF($C137="","",IF(OR($L137="Open",$L137=""),"Open","Realized"))</f>
        <v/>
      </c>
    </row>
    <row r="138" customFormat="false" ht="15" hidden="false" customHeight="false" outlineLevel="0" collapsed="false">
      <c r="A138" s="7"/>
      <c r="B138" s="9"/>
      <c r="C138" s="32"/>
      <c r="D138" s="12" t="str">
        <f aca="false">IF($C138="","",IF(OR($C138="Long call",$C138="Covered call"),"Call","Put"))</f>
        <v/>
      </c>
      <c r="E138" s="12" t="str">
        <f aca="false">IF($C138="","",IF(OR($C138="Long call",$C138="Long put"),"Buy to open","Sell to open"))</f>
        <v/>
      </c>
      <c r="F138" s="13"/>
      <c r="G138" s="7"/>
      <c r="H138" s="14"/>
      <c r="I138" s="13"/>
      <c r="J138" s="13"/>
      <c r="K138" s="13"/>
      <c r="L138" s="32"/>
      <c r="M138" s="7"/>
      <c r="N138" s="13"/>
      <c r="O138" s="15" t="str">
        <f aca="false">IF($C138="","",IF($E138="Sell to open",1,-1)*$I138*$E$2*$H138)</f>
        <v/>
      </c>
      <c r="P138" s="15" t="str">
        <f aca="false">IF($C138="","",IF($C138="Long call",$F138+$I138,IF($C138="Covered call",$J138-$I138,$F138-$I138)))</f>
        <v/>
      </c>
      <c r="Q138" s="16" t="str">
        <f aca="false">IF($C138="","",IF($AA138="Open",$B$2,IF($M138&lt;&gt;"",$M138,$G138))-$A138)</f>
        <v/>
      </c>
      <c r="R138" s="16" t="str">
        <f aca="false">IF($C138="","",IF($AA138="Open",MAX($G138-$B$2,0),""))</f>
        <v/>
      </c>
      <c r="S138" s="15" t="str">
        <f aca="false">IF(OR($C138="",$AA138="Open"),"",IF($L138="Closed",-IF($E138="Sell to open",1,-1)*$N138*$E$2*$H138,0))</f>
        <v/>
      </c>
      <c r="T138" s="15" t="str">
        <f aca="false">IF(OR($C138="",$AA138="Open"),"",$O138+$S138-$K138)</f>
        <v/>
      </c>
      <c r="U138" s="15" t="str">
        <f aca="false">IF(OR($C138="",$AA138="Open"),"",IF(AND($C138="Covered call",$L138="Assigned"),($F138-$J138)*$E$2*$H138,0))</f>
        <v/>
      </c>
      <c r="V138" s="15" t="str">
        <f aca="false">IF(OR($C138="",$AA138="Open"),"",$T138+$U138)</f>
        <v/>
      </c>
      <c r="W138" s="15" t="str">
        <f aca="false">IF($C138="","",IF(OR($C138="Long call",$C138="Long put"),$I138*$E$2*$H138,(IF($C138="Covered call",$J138,$F138)-$I138)*$E$2*$H138))</f>
        <v/>
      </c>
      <c r="X138" s="17" t="str">
        <f aca="false">IF(OR($C138="",$AA138="Open"),"",IF($W138&gt;0,$V138/$W138,""))</f>
        <v/>
      </c>
      <c r="Y138" s="17" t="str">
        <f aca="false">IF(OR($C138="",$AA138="Open"),"",IF($W138&gt;0,$X138*365/MAX($Q138,1),""))</f>
        <v/>
      </c>
      <c r="Z138" s="18" t="str">
        <f aca="false">IF(OR($C138="",$AA138="Open"),"",IF($M138&lt;&gt;"",$M138,$G138))</f>
        <v/>
      </c>
      <c r="AA138" s="12" t="str">
        <f aca="false">IF($C138="","",IF(OR($L138="Open",$L138=""),"Open","Realized"))</f>
        <v/>
      </c>
    </row>
    <row r="139" customFormat="false" ht="15" hidden="false" customHeight="false" outlineLevel="0" collapsed="false">
      <c r="A139" s="7"/>
      <c r="B139" s="9"/>
      <c r="C139" s="32"/>
      <c r="D139" s="12" t="str">
        <f aca="false">IF($C139="","",IF(OR($C139="Long call",$C139="Covered call"),"Call","Put"))</f>
        <v/>
      </c>
      <c r="E139" s="12" t="str">
        <f aca="false">IF($C139="","",IF(OR($C139="Long call",$C139="Long put"),"Buy to open","Sell to open"))</f>
        <v/>
      </c>
      <c r="F139" s="13"/>
      <c r="G139" s="7"/>
      <c r="H139" s="14"/>
      <c r="I139" s="13"/>
      <c r="J139" s="13"/>
      <c r="K139" s="13"/>
      <c r="L139" s="32"/>
      <c r="M139" s="7"/>
      <c r="N139" s="13"/>
      <c r="O139" s="15" t="str">
        <f aca="false">IF($C139="","",IF($E139="Sell to open",1,-1)*$I139*$E$2*$H139)</f>
        <v/>
      </c>
      <c r="P139" s="15" t="str">
        <f aca="false">IF($C139="","",IF($C139="Long call",$F139+$I139,IF($C139="Covered call",$J139-$I139,$F139-$I139)))</f>
        <v/>
      </c>
      <c r="Q139" s="16" t="str">
        <f aca="false">IF($C139="","",IF($AA139="Open",$B$2,IF($M139&lt;&gt;"",$M139,$G139))-$A139)</f>
        <v/>
      </c>
      <c r="R139" s="16" t="str">
        <f aca="false">IF($C139="","",IF($AA139="Open",MAX($G139-$B$2,0),""))</f>
        <v/>
      </c>
      <c r="S139" s="15" t="str">
        <f aca="false">IF(OR($C139="",$AA139="Open"),"",IF($L139="Closed",-IF($E139="Sell to open",1,-1)*$N139*$E$2*$H139,0))</f>
        <v/>
      </c>
      <c r="T139" s="15" t="str">
        <f aca="false">IF(OR($C139="",$AA139="Open"),"",$O139+$S139-$K139)</f>
        <v/>
      </c>
      <c r="U139" s="15" t="str">
        <f aca="false">IF(OR($C139="",$AA139="Open"),"",IF(AND($C139="Covered call",$L139="Assigned"),($F139-$J139)*$E$2*$H139,0))</f>
        <v/>
      </c>
      <c r="V139" s="15" t="str">
        <f aca="false">IF(OR($C139="",$AA139="Open"),"",$T139+$U139)</f>
        <v/>
      </c>
      <c r="W139" s="15" t="str">
        <f aca="false">IF($C139="","",IF(OR($C139="Long call",$C139="Long put"),$I139*$E$2*$H139,(IF($C139="Covered call",$J139,$F139)-$I139)*$E$2*$H139))</f>
        <v/>
      </c>
      <c r="X139" s="17" t="str">
        <f aca="false">IF(OR($C139="",$AA139="Open"),"",IF($W139&gt;0,$V139/$W139,""))</f>
        <v/>
      </c>
      <c r="Y139" s="17" t="str">
        <f aca="false">IF(OR($C139="",$AA139="Open"),"",IF($W139&gt;0,$X139*365/MAX($Q139,1),""))</f>
        <v/>
      </c>
      <c r="Z139" s="18" t="str">
        <f aca="false">IF(OR($C139="",$AA139="Open"),"",IF($M139&lt;&gt;"",$M139,$G139))</f>
        <v/>
      </c>
      <c r="AA139" s="12" t="str">
        <f aca="false">IF($C139="","",IF(OR($L139="Open",$L139=""),"Open","Realized"))</f>
        <v/>
      </c>
    </row>
    <row r="140" customFormat="false" ht="15" hidden="false" customHeight="false" outlineLevel="0" collapsed="false">
      <c r="A140" s="7"/>
      <c r="B140" s="9"/>
      <c r="C140" s="32"/>
      <c r="D140" s="12" t="str">
        <f aca="false">IF($C140="","",IF(OR($C140="Long call",$C140="Covered call"),"Call","Put"))</f>
        <v/>
      </c>
      <c r="E140" s="12" t="str">
        <f aca="false">IF($C140="","",IF(OR($C140="Long call",$C140="Long put"),"Buy to open","Sell to open"))</f>
        <v/>
      </c>
      <c r="F140" s="13"/>
      <c r="G140" s="7"/>
      <c r="H140" s="14"/>
      <c r="I140" s="13"/>
      <c r="J140" s="13"/>
      <c r="K140" s="13"/>
      <c r="L140" s="32"/>
      <c r="M140" s="7"/>
      <c r="N140" s="13"/>
      <c r="O140" s="15" t="str">
        <f aca="false">IF($C140="","",IF($E140="Sell to open",1,-1)*$I140*$E$2*$H140)</f>
        <v/>
      </c>
      <c r="P140" s="15" t="str">
        <f aca="false">IF($C140="","",IF($C140="Long call",$F140+$I140,IF($C140="Covered call",$J140-$I140,$F140-$I140)))</f>
        <v/>
      </c>
      <c r="Q140" s="16" t="str">
        <f aca="false">IF($C140="","",IF($AA140="Open",$B$2,IF($M140&lt;&gt;"",$M140,$G140))-$A140)</f>
        <v/>
      </c>
      <c r="R140" s="16" t="str">
        <f aca="false">IF($C140="","",IF($AA140="Open",MAX($G140-$B$2,0),""))</f>
        <v/>
      </c>
      <c r="S140" s="15" t="str">
        <f aca="false">IF(OR($C140="",$AA140="Open"),"",IF($L140="Closed",-IF($E140="Sell to open",1,-1)*$N140*$E$2*$H140,0))</f>
        <v/>
      </c>
      <c r="T140" s="15" t="str">
        <f aca="false">IF(OR($C140="",$AA140="Open"),"",$O140+$S140-$K140)</f>
        <v/>
      </c>
      <c r="U140" s="15" t="str">
        <f aca="false">IF(OR($C140="",$AA140="Open"),"",IF(AND($C140="Covered call",$L140="Assigned"),($F140-$J140)*$E$2*$H140,0))</f>
        <v/>
      </c>
      <c r="V140" s="15" t="str">
        <f aca="false">IF(OR($C140="",$AA140="Open"),"",$T140+$U140)</f>
        <v/>
      </c>
      <c r="W140" s="15" t="str">
        <f aca="false">IF($C140="","",IF(OR($C140="Long call",$C140="Long put"),$I140*$E$2*$H140,(IF($C140="Covered call",$J140,$F140)-$I140)*$E$2*$H140))</f>
        <v/>
      </c>
      <c r="X140" s="17" t="str">
        <f aca="false">IF(OR($C140="",$AA140="Open"),"",IF($W140&gt;0,$V140/$W140,""))</f>
        <v/>
      </c>
      <c r="Y140" s="17" t="str">
        <f aca="false">IF(OR($C140="",$AA140="Open"),"",IF($W140&gt;0,$X140*365/MAX($Q140,1),""))</f>
        <v/>
      </c>
      <c r="Z140" s="18" t="str">
        <f aca="false">IF(OR($C140="",$AA140="Open"),"",IF($M140&lt;&gt;"",$M140,$G140))</f>
        <v/>
      </c>
      <c r="AA140" s="12" t="str">
        <f aca="false">IF($C140="","",IF(OR($L140="Open",$L140=""),"Open","Realized"))</f>
        <v/>
      </c>
    </row>
    <row r="141" customFormat="false" ht="15" hidden="false" customHeight="false" outlineLevel="0" collapsed="false">
      <c r="A141" s="7"/>
      <c r="B141" s="9"/>
      <c r="C141" s="32"/>
      <c r="D141" s="12" t="str">
        <f aca="false">IF($C141="","",IF(OR($C141="Long call",$C141="Covered call"),"Call","Put"))</f>
        <v/>
      </c>
      <c r="E141" s="12" t="str">
        <f aca="false">IF($C141="","",IF(OR($C141="Long call",$C141="Long put"),"Buy to open","Sell to open"))</f>
        <v/>
      </c>
      <c r="F141" s="13"/>
      <c r="G141" s="7"/>
      <c r="H141" s="14"/>
      <c r="I141" s="13"/>
      <c r="J141" s="13"/>
      <c r="K141" s="13"/>
      <c r="L141" s="32"/>
      <c r="M141" s="7"/>
      <c r="N141" s="13"/>
      <c r="O141" s="15" t="str">
        <f aca="false">IF($C141="","",IF($E141="Sell to open",1,-1)*$I141*$E$2*$H141)</f>
        <v/>
      </c>
      <c r="P141" s="15" t="str">
        <f aca="false">IF($C141="","",IF($C141="Long call",$F141+$I141,IF($C141="Covered call",$J141-$I141,$F141-$I141)))</f>
        <v/>
      </c>
      <c r="Q141" s="16" t="str">
        <f aca="false">IF($C141="","",IF($AA141="Open",$B$2,IF($M141&lt;&gt;"",$M141,$G141))-$A141)</f>
        <v/>
      </c>
      <c r="R141" s="16" t="str">
        <f aca="false">IF($C141="","",IF($AA141="Open",MAX($G141-$B$2,0),""))</f>
        <v/>
      </c>
      <c r="S141" s="15" t="str">
        <f aca="false">IF(OR($C141="",$AA141="Open"),"",IF($L141="Closed",-IF($E141="Sell to open",1,-1)*$N141*$E$2*$H141,0))</f>
        <v/>
      </c>
      <c r="T141" s="15" t="str">
        <f aca="false">IF(OR($C141="",$AA141="Open"),"",$O141+$S141-$K141)</f>
        <v/>
      </c>
      <c r="U141" s="15" t="str">
        <f aca="false">IF(OR($C141="",$AA141="Open"),"",IF(AND($C141="Covered call",$L141="Assigned"),($F141-$J141)*$E$2*$H141,0))</f>
        <v/>
      </c>
      <c r="V141" s="15" t="str">
        <f aca="false">IF(OR($C141="",$AA141="Open"),"",$T141+$U141)</f>
        <v/>
      </c>
      <c r="W141" s="15" t="str">
        <f aca="false">IF($C141="","",IF(OR($C141="Long call",$C141="Long put"),$I141*$E$2*$H141,(IF($C141="Covered call",$J141,$F141)-$I141)*$E$2*$H141))</f>
        <v/>
      </c>
      <c r="X141" s="17" t="str">
        <f aca="false">IF(OR($C141="",$AA141="Open"),"",IF($W141&gt;0,$V141/$W141,""))</f>
        <v/>
      </c>
      <c r="Y141" s="17" t="str">
        <f aca="false">IF(OR($C141="",$AA141="Open"),"",IF($W141&gt;0,$X141*365/MAX($Q141,1),""))</f>
        <v/>
      </c>
      <c r="Z141" s="18" t="str">
        <f aca="false">IF(OR($C141="",$AA141="Open"),"",IF($M141&lt;&gt;"",$M141,$G141))</f>
        <v/>
      </c>
      <c r="AA141" s="12" t="str">
        <f aca="false">IF($C141="","",IF(OR($L141="Open",$L141=""),"Open","Realized"))</f>
        <v/>
      </c>
    </row>
    <row r="142" customFormat="false" ht="15" hidden="false" customHeight="false" outlineLevel="0" collapsed="false">
      <c r="A142" s="7"/>
      <c r="B142" s="9"/>
      <c r="C142" s="32"/>
      <c r="D142" s="12" t="str">
        <f aca="false">IF($C142="","",IF(OR($C142="Long call",$C142="Covered call"),"Call","Put"))</f>
        <v/>
      </c>
      <c r="E142" s="12" t="str">
        <f aca="false">IF($C142="","",IF(OR($C142="Long call",$C142="Long put"),"Buy to open","Sell to open"))</f>
        <v/>
      </c>
      <c r="F142" s="13"/>
      <c r="G142" s="7"/>
      <c r="H142" s="14"/>
      <c r="I142" s="13"/>
      <c r="J142" s="13"/>
      <c r="K142" s="13"/>
      <c r="L142" s="32"/>
      <c r="M142" s="7"/>
      <c r="N142" s="13"/>
      <c r="O142" s="15" t="str">
        <f aca="false">IF($C142="","",IF($E142="Sell to open",1,-1)*$I142*$E$2*$H142)</f>
        <v/>
      </c>
      <c r="P142" s="15" t="str">
        <f aca="false">IF($C142="","",IF($C142="Long call",$F142+$I142,IF($C142="Covered call",$J142-$I142,$F142-$I142)))</f>
        <v/>
      </c>
      <c r="Q142" s="16" t="str">
        <f aca="false">IF($C142="","",IF($AA142="Open",$B$2,IF($M142&lt;&gt;"",$M142,$G142))-$A142)</f>
        <v/>
      </c>
      <c r="R142" s="16" t="str">
        <f aca="false">IF($C142="","",IF($AA142="Open",MAX($G142-$B$2,0),""))</f>
        <v/>
      </c>
      <c r="S142" s="15" t="str">
        <f aca="false">IF(OR($C142="",$AA142="Open"),"",IF($L142="Closed",-IF($E142="Sell to open",1,-1)*$N142*$E$2*$H142,0))</f>
        <v/>
      </c>
      <c r="T142" s="15" t="str">
        <f aca="false">IF(OR($C142="",$AA142="Open"),"",$O142+$S142-$K142)</f>
        <v/>
      </c>
      <c r="U142" s="15" t="str">
        <f aca="false">IF(OR($C142="",$AA142="Open"),"",IF(AND($C142="Covered call",$L142="Assigned"),($F142-$J142)*$E$2*$H142,0))</f>
        <v/>
      </c>
      <c r="V142" s="15" t="str">
        <f aca="false">IF(OR($C142="",$AA142="Open"),"",$T142+$U142)</f>
        <v/>
      </c>
      <c r="W142" s="15" t="str">
        <f aca="false">IF($C142="","",IF(OR($C142="Long call",$C142="Long put"),$I142*$E$2*$H142,(IF($C142="Covered call",$J142,$F142)-$I142)*$E$2*$H142))</f>
        <v/>
      </c>
      <c r="X142" s="17" t="str">
        <f aca="false">IF(OR($C142="",$AA142="Open"),"",IF($W142&gt;0,$V142/$W142,""))</f>
        <v/>
      </c>
      <c r="Y142" s="17" t="str">
        <f aca="false">IF(OR($C142="",$AA142="Open"),"",IF($W142&gt;0,$X142*365/MAX($Q142,1),""))</f>
        <v/>
      </c>
      <c r="Z142" s="18" t="str">
        <f aca="false">IF(OR($C142="",$AA142="Open"),"",IF($M142&lt;&gt;"",$M142,$G142))</f>
        <v/>
      </c>
      <c r="AA142" s="12" t="str">
        <f aca="false">IF($C142="","",IF(OR($L142="Open",$L142=""),"Open","Realized"))</f>
        <v/>
      </c>
    </row>
    <row r="143" customFormat="false" ht="15" hidden="false" customHeight="false" outlineLevel="0" collapsed="false">
      <c r="A143" s="7"/>
      <c r="B143" s="9"/>
      <c r="C143" s="32"/>
      <c r="D143" s="12" t="str">
        <f aca="false">IF($C143="","",IF(OR($C143="Long call",$C143="Covered call"),"Call","Put"))</f>
        <v/>
      </c>
      <c r="E143" s="12" t="str">
        <f aca="false">IF($C143="","",IF(OR($C143="Long call",$C143="Long put"),"Buy to open","Sell to open"))</f>
        <v/>
      </c>
      <c r="F143" s="13"/>
      <c r="G143" s="7"/>
      <c r="H143" s="14"/>
      <c r="I143" s="13"/>
      <c r="J143" s="13"/>
      <c r="K143" s="13"/>
      <c r="L143" s="32"/>
      <c r="M143" s="7"/>
      <c r="N143" s="13"/>
      <c r="O143" s="15" t="str">
        <f aca="false">IF($C143="","",IF($E143="Sell to open",1,-1)*$I143*$E$2*$H143)</f>
        <v/>
      </c>
      <c r="P143" s="15" t="str">
        <f aca="false">IF($C143="","",IF($C143="Long call",$F143+$I143,IF($C143="Covered call",$J143-$I143,$F143-$I143)))</f>
        <v/>
      </c>
      <c r="Q143" s="16" t="str">
        <f aca="false">IF($C143="","",IF($AA143="Open",$B$2,IF($M143&lt;&gt;"",$M143,$G143))-$A143)</f>
        <v/>
      </c>
      <c r="R143" s="16" t="str">
        <f aca="false">IF($C143="","",IF($AA143="Open",MAX($G143-$B$2,0),""))</f>
        <v/>
      </c>
      <c r="S143" s="15" t="str">
        <f aca="false">IF(OR($C143="",$AA143="Open"),"",IF($L143="Closed",-IF($E143="Sell to open",1,-1)*$N143*$E$2*$H143,0))</f>
        <v/>
      </c>
      <c r="T143" s="15" t="str">
        <f aca="false">IF(OR($C143="",$AA143="Open"),"",$O143+$S143-$K143)</f>
        <v/>
      </c>
      <c r="U143" s="15" t="str">
        <f aca="false">IF(OR($C143="",$AA143="Open"),"",IF(AND($C143="Covered call",$L143="Assigned"),($F143-$J143)*$E$2*$H143,0))</f>
        <v/>
      </c>
      <c r="V143" s="15" t="str">
        <f aca="false">IF(OR($C143="",$AA143="Open"),"",$T143+$U143)</f>
        <v/>
      </c>
      <c r="W143" s="15" t="str">
        <f aca="false">IF($C143="","",IF(OR($C143="Long call",$C143="Long put"),$I143*$E$2*$H143,(IF($C143="Covered call",$J143,$F143)-$I143)*$E$2*$H143))</f>
        <v/>
      </c>
      <c r="X143" s="17" t="str">
        <f aca="false">IF(OR($C143="",$AA143="Open"),"",IF($W143&gt;0,$V143/$W143,""))</f>
        <v/>
      </c>
      <c r="Y143" s="17" t="str">
        <f aca="false">IF(OR($C143="",$AA143="Open"),"",IF($W143&gt;0,$X143*365/MAX($Q143,1),""))</f>
        <v/>
      </c>
      <c r="Z143" s="18" t="str">
        <f aca="false">IF(OR($C143="",$AA143="Open"),"",IF($M143&lt;&gt;"",$M143,$G143))</f>
        <v/>
      </c>
      <c r="AA143" s="12" t="str">
        <f aca="false">IF($C143="","",IF(OR($L143="Open",$L143=""),"Open","Realized"))</f>
        <v/>
      </c>
    </row>
    <row r="144" customFormat="false" ht="15" hidden="false" customHeight="false" outlineLevel="0" collapsed="false">
      <c r="A144" s="7"/>
      <c r="B144" s="9"/>
      <c r="C144" s="32"/>
      <c r="D144" s="12" t="str">
        <f aca="false">IF($C144="","",IF(OR($C144="Long call",$C144="Covered call"),"Call","Put"))</f>
        <v/>
      </c>
      <c r="E144" s="12" t="str">
        <f aca="false">IF($C144="","",IF(OR($C144="Long call",$C144="Long put"),"Buy to open","Sell to open"))</f>
        <v/>
      </c>
      <c r="F144" s="13"/>
      <c r="G144" s="7"/>
      <c r="H144" s="14"/>
      <c r="I144" s="13"/>
      <c r="J144" s="13"/>
      <c r="K144" s="13"/>
      <c r="L144" s="32"/>
      <c r="M144" s="7"/>
      <c r="N144" s="13"/>
      <c r="O144" s="15" t="str">
        <f aca="false">IF($C144="","",IF($E144="Sell to open",1,-1)*$I144*$E$2*$H144)</f>
        <v/>
      </c>
      <c r="P144" s="15" t="str">
        <f aca="false">IF($C144="","",IF($C144="Long call",$F144+$I144,IF($C144="Covered call",$J144-$I144,$F144-$I144)))</f>
        <v/>
      </c>
      <c r="Q144" s="16" t="str">
        <f aca="false">IF($C144="","",IF($AA144="Open",$B$2,IF($M144&lt;&gt;"",$M144,$G144))-$A144)</f>
        <v/>
      </c>
      <c r="R144" s="16" t="str">
        <f aca="false">IF($C144="","",IF($AA144="Open",MAX($G144-$B$2,0),""))</f>
        <v/>
      </c>
      <c r="S144" s="15" t="str">
        <f aca="false">IF(OR($C144="",$AA144="Open"),"",IF($L144="Closed",-IF($E144="Sell to open",1,-1)*$N144*$E$2*$H144,0))</f>
        <v/>
      </c>
      <c r="T144" s="15" t="str">
        <f aca="false">IF(OR($C144="",$AA144="Open"),"",$O144+$S144-$K144)</f>
        <v/>
      </c>
      <c r="U144" s="15" t="str">
        <f aca="false">IF(OR($C144="",$AA144="Open"),"",IF(AND($C144="Covered call",$L144="Assigned"),($F144-$J144)*$E$2*$H144,0))</f>
        <v/>
      </c>
      <c r="V144" s="15" t="str">
        <f aca="false">IF(OR($C144="",$AA144="Open"),"",$T144+$U144)</f>
        <v/>
      </c>
      <c r="W144" s="15" t="str">
        <f aca="false">IF($C144="","",IF(OR($C144="Long call",$C144="Long put"),$I144*$E$2*$H144,(IF($C144="Covered call",$J144,$F144)-$I144)*$E$2*$H144))</f>
        <v/>
      </c>
      <c r="X144" s="17" t="str">
        <f aca="false">IF(OR($C144="",$AA144="Open"),"",IF($W144&gt;0,$V144/$W144,""))</f>
        <v/>
      </c>
      <c r="Y144" s="17" t="str">
        <f aca="false">IF(OR($C144="",$AA144="Open"),"",IF($W144&gt;0,$X144*365/MAX($Q144,1),""))</f>
        <v/>
      </c>
      <c r="Z144" s="18" t="str">
        <f aca="false">IF(OR($C144="",$AA144="Open"),"",IF($M144&lt;&gt;"",$M144,$G144))</f>
        <v/>
      </c>
      <c r="AA144" s="12" t="str">
        <f aca="false">IF($C144="","",IF(OR($L144="Open",$L144=""),"Open","Realized"))</f>
        <v/>
      </c>
    </row>
    <row r="145" customFormat="false" ht="15" hidden="false" customHeight="false" outlineLevel="0" collapsed="false">
      <c r="A145" s="7"/>
      <c r="B145" s="9"/>
      <c r="C145" s="32"/>
      <c r="D145" s="12" t="str">
        <f aca="false">IF($C145="","",IF(OR($C145="Long call",$C145="Covered call"),"Call","Put"))</f>
        <v/>
      </c>
      <c r="E145" s="12" t="str">
        <f aca="false">IF($C145="","",IF(OR($C145="Long call",$C145="Long put"),"Buy to open","Sell to open"))</f>
        <v/>
      </c>
      <c r="F145" s="13"/>
      <c r="G145" s="7"/>
      <c r="H145" s="14"/>
      <c r="I145" s="13"/>
      <c r="J145" s="13"/>
      <c r="K145" s="13"/>
      <c r="L145" s="32"/>
      <c r="M145" s="7"/>
      <c r="N145" s="13"/>
      <c r="O145" s="15" t="str">
        <f aca="false">IF($C145="","",IF($E145="Sell to open",1,-1)*$I145*$E$2*$H145)</f>
        <v/>
      </c>
      <c r="P145" s="15" t="str">
        <f aca="false">IF($C145="","",IF($C145="Long call",$F145+$I145,IF($C145="Covered call",$J145-$I145,$F145-$I145)))</f>
        <v/>
      </c>
      <c r="Q145" s="16" t="str">
        <f aca="false">IF($C145="","",IF($AA145="Open",$B$2,IF($M145&lt;&gt;"",$M145,$G145))-$A145)</f>
        <v/>
      </c>
      <c r="R145" s="16" t="str">
        <f aca="false">IF($C145="","",IF($AA145="Open",MAX($G145-$B$2,0),""))</f>
        <v/>
      </c>
      <c r="S145" s="15" t="str">
        <f aca="false">IF(OR($C145="",$AA145="Open"),"",IF($L145="Closed",-IF($E145="Sell to open",1,-1)*$N145*$E$2*$H145,0))</f>
        <v/>
      </c>
      <c r="T145" s="15" t="str">
        <f aca="false">IF(OR($C145="",$AA145="Open"),"",$O145+$S145-$K145)</f>
        <v/>
      </c>
      <c r="U145" s="15" t="str">
        <f aca="false">IF(OR($C145="",$AA145="Open"),"",IF(AND($C145="Covered call",$L145="Assigned"),($F145-$J145)*$E$2*$H145,0))</f>
        <v/>
      </c>
      <c r="V145" s="15" t="str">
        <f aca="false">IF(OR($C145="",$AA145="Open"),"",$T145+$U145)</f>
        <v/>
      </c>
      <c r="W145" s="15" t="str">
        <f aca="false">IF($C145="","",IF(OR($C145="Long call",$C145="Long put"),$I145*$E$2*$H145,(IF($C145="Covered call",$J145,$F145)-$I145)*$E$2*$H145))</f>
        <v/>
      </c>
      <c r="X145" s="17" t="str">
        <f aca="false">IF(OR($C145="",$AA145="Open"),"",IF($W145&gt;0,$V145/$W145,""))</f>
        <v/>
      </c>
      <c r="Y145" s="17" t="str">
        <f aca="false">IF(OR($C145="",$AA145="Open"),"",IF($W145&gt;0,$X145*365/MAX($Q145,1),""))</f>
        <v/>
      </c>
      <c r="Z145" s="18" t="str">
        <f aca="false">IF(OR($C145="",$AA145="Open"),"",IF($M145&lt;&gt;"",$M145,$G145))</f>
        <v/>
      </c>
      <c r="AA145" s="12" t="str">
        <f aca="false">IF($C145="","",IF(OR($L145="Open",$L145=""),"Open","Realized"))</f>
        <v/>
      </c>
    </row>
    <row r="146" customFormat="false" ht="15" hidden="false" customHeight="false" outlineLevel="0" collapsed="false">
      <c r="A146" s="7"/>
      <c r="B146" s="9"/>
      <c r="C146" s="32"/>
      <c r="D146" s="12" t="str">
        <f aca="false">IF($C146="","",IF(OR($C146="Long call",$C146="Covered call"),"Call","Put"))</f>
        <v/>
      </c>
      <c r="E146" s="12" t="str">
        <f aca="false">IF($C146="","",IF(OR($C146="Long call",$C146="Long put"),"Buy to open","Sell to open"))</f>
        <v/>
      </c>
      <c r="F146" s="13"/>
      <c r="G146" s="7"/>
      <c r="H146" s="14"/>
      <c r="I146" s="13"/>
      <c r="J146" s="13"/>
      <c r="K146" s="13"/>
      <c r="L146" s="32"/>
      <c r="M146" s="7"/>
      <c r="N146" s="13"/>
      <c r="O146" s="15" t="str">
        <f aca="false">IF($C146="","",IF($E146="Sell to open",1,-1)*$I146*$E$2*$H146)</f>
        <v/>
      </c>
      <c r="P146" s="15" t="str">
        <f aca="false">IF($C146="","",IF($C146="Long call",$F146+$I146,IF($C146="Covered call",$J146-$I146,$F146-$I146)))</f>
        <v/>
      </c>
      <c r="Q146" s="16" t="str">
        <f aca="false">IF($C146="","",IF($AA146="Open",$B$2,IF($M146&lt;&gt;"",$M146,$G146))-$A146)</f>
        <v/>
      </c>
      <c r="R146" s="16" t="str">
        <f aca="false">IF($C146="","",IF($AA146="Open",MAX($G146-$B$2,0),""))</f>
        <v/>
      </c>
      <c r="S146" s="15" t="str">
        <f aca="false">IF(OR($C146="",$AA146="Open"),"",IF($L146="Closed",-IF($E146="Sell to open",1,-1)*$N146*$E$2*$H146,0))</f>
        <v/>
      </c>
      <c r="T146" s="15" t="str">
        <f aca="false">IF(OR($C146="",$AA146="Open"),"",$O146+$S146-$K146)</f>
        <v/>
      </c>
      <c r="U146" s="15" t="str">
        <f aca="false">IF(OR($C146="",$AA146="Open"),"",IF(AND($C146="Covered call",$L146="Assigned"),($F146-$J146)*$E$2*$H146,0))</f>
        <v/>
      </c>
      <c r="V146" s="15" t="str">
        <f aca="false">IF(OR($C146="",$AA146="Open"),"",$T146+$U146)</f>
        <v/>
      </c>
      <c r="W146" s="15" t="str">
        <f aca="false">IF($C146="","",IF(OR($C146="Long call",$C146="Long put"),$I146*$E$2*$H146,(IF($C146="Covered call",$J146,$F146)-$I146)*$E$2*$H146))</f>
        <v/>
      </c>
      <c r="X146" s="17" t="str">
        <f aca="false">IF(OR($C146="",$AA146="Open"),"",IF($W146&gt;0,$V146/$W146,""))</f>
        <v/>
      </c>
      <c r="Y146" s="17" t="str">
        <f aca="false">IF(OR($C146="",$AA146="Open"),"",IF($W146&gt;0,$X146*365/MAX($Q146,1),""))</f>
        <v/>
      </c>
      <c r="Z146" s="18" t="str">
        <f aca="false">IF(OR($C146="",$AA146="Open"),"",IF($M146&lt;&gt;"",$M146,$G146))</f>
        <v/>
      </c>
      <c r="AA146" s="12" t="str">
        <f aca="false">IF($C146="","",IF(OR($L146="Open",$L146=""),"Open","Realized"))</f>
        <v/>
      </c>
    </row>
    <row r="147" customFormat="false" ht="15" hidden="false" customHeight="false" outlineLevel="0" collapsed="false">
      <c r="A147" s="7"/>
      <c r="B147" s="9"/>
      <c r="C147" s="32"/>
      <c r="D147" s="12" t="str">
        <f aca="false">IF($C147="","",IF(OR($C147="Long call",$C147="Covered call"),"Call","Put"))</f>
        <v/>
      </c>
      <c r="E147" s="12" t="str">
        <f aca="false">IF($C147="","",IF(OR($C147="Long call",$C147="Long put"),"Buy to open","Sell to open"))</f>
        <v/>
      </c>
      <c r="F147" s="13"/>
      <c r="G147" s="7"/>
      <c r="H147" s="14"/>
      <c r="I147" s="13"/>
      <c r="J147" s="13"/>
      <c r="K147" s="13"/>
      <c r="L147" s="32"/>
      <c r="M147" s="7"/>
      <c r="N147" s="13"/>
      <c r="O147" s="15" t="str">
        <f aca="false">IF($C147="","",IF($E147="Sell to open",1,-1)*$I147*$E$2*$H147)</f>
        <v/>
      </c>
      <c r="P147" s="15" t="str">
        <f aca="false">IF($C147="","",IF($C147="Long call",$F147+$I147,IF($C147="Covered call",$J147-$I147,$F147-$I147)))</f>
        <v/>
      </c>
      <c r="Q147" s="16" t="str">
        <f aca="false">IF($C147="","",IF($AA147="Open",$B$2,IF($M147&lt;&gt;"",$M147,$G147))-$A147)</f>
        <v/>
      </c>
      <c r="R147" s="16" t="str">
        <f aca="false">IF($C147="","",IF($AA147="Open",MAX($G147-$B$2,0),""))</f>
        <v/>
      </c>
      <c r="S147" s="15" t="str">
        <f aca="false">IF(OR($C147="",$AA147="Open"),"",IF($L147="Closed",-IF($E147="Sell to open",1,-1)*$N147*$E$2*$H147,0))</f>
        <v/>
      </c>
      <c r="T147" s="15" t="str">
        <f aca="false">IF(OR($C147="",$AA147="Open"),"",$O147+$S147-$K147)</f>
        <v/>
      </c>
      <c r="U147" s="15" t="str">
        <f aca="false">IF(OR($C147="",$AA147="Open"),"",IF(AND($C147="Covered call",$L147="Assigned"),($F147-$J147)*$E$2*$H147,0))</f>
        <v/>
      </c>
      <c r="V147" s="15" t="str">
        <f aca="false">IF(OR($C147="",$AA147="Open"),"",$T147+$U147)</f>
        <v/>
      </c>
      <c r="W147" s="15" t="str">
        <f aca="false">IF($C147="","",IF(OR($C147="Long call",$C147="Long put"),$I147*$E$2*$H147,(IF($C147="Covered call",$J147,$F147)-$I147)*$E$2*$H147))</f>
        <v/>
      </c>
      <c r="X147" s="17" t="str">
        <f aca="false">IF(OR($C147="",$AA147="Open"),"",IF($W147&gt;0,$V147/$W147,""))</f>
        <v/>
      </c>
      <c r="Y147" s="17" t="str">
        <f aca="false">IF(OR($C147="",$AA147="Open"),"",IF($W147&gt;0,$X147*365/MAX($Q147,1),""))</f>
        <v/>
      </c>
      <c r="Z147" s="18" t="str">
        <f aca="false">IF(OR($C147="",$AA147="Open"),"",IF($M147&lt;&gt;"",$M147,$G147))</f>
        <v/>
      </c>
      <c r="AA147" s="12" t="str">
        <f aca="false">IF($C147="","",IF(OR($L147="Open",$L147=""),"Open","Realized"))</f>
        <v/>
      </c>
    </row>
    <row r="148" customFormat="false" ht="15" hidden="false" customHeight="false" outlineLevel="0" collapsed="false">
      <c r="A148" s="7"/>
      <c r="B148" s="9"/>
      <c r="C148" s="32"/>
      <c r="D148" s="12" t="str">
        <f aca="false">IF($C148="","",IF(OR($C148="Long call",$C148="Covered call"),"Call","Put"))</f>
        <v/>
      </c>
      <c r="E148" s="12" t="str">
        <f aca="false">IF($C148="","",IF(OR($C148="Long call",$C148="Long put"),"Buy to open","Sell to open"))</f>
        <v/>
      </c>
      <c r="F148" s="13"/>
      <c r="G148" s="7"/>
      <c r="H148" s="14"/>
      <c r="I148" s="13"/>
      <c r="J148" s="13"/>
      <c r="K148" s="13"/>
      <c r="L148" s="32"/>
      <c r="M148" s="7"/>
      <c r="N148" s="13"/>
      <c r="O148" s="15" t="str">
        <f aca="false">IF($C148="","",IF($E148="Sell to open",1,-1)*$I148*$E$2*$H148)</f>
        <v/>
      </c>
      <c r="P148" s="15" t="str">
        <f aca="false">IF($C148="","",IF($C148="Long call",$F148+$I148,IF($C148="Covered call",$J148-$I148,$F148-$I148)))</f>
        <v/>
      </c>
      <c r="Q148" s="16" t="str">
        <f aca="false">IF($C148="","",IF($AA148="Open",$B$2,IF($M148&lt;&gt;"",$M148,$G148))-$A148)</f>
        <v/>
      </c>
      <c r="R148" s="16" t="str">
        <f aca="false">IF($C148="","",IF($AA148="Open",MAX($G148-$B$2,0),""))</f>
        <v/>
      </c>
      <c r="S148" s="15" t="str">
        <f aca="false">IF(OR($C148="",$AA148="Open"),"",IF($L148="Closed",-IF($E148="Sell to open",1,-1)*$N148*$E$2*$H148,0))</f>
        <v/>
      </c>
      <c r="T148" s="15" t="str">
        <f aca="false">IF(OR($C148="",$AA148="Open"),"",$O148+$S148-$K148)</f>
        <v/>
      </c>
      <c r="U148" s="15" t="str">
        <f aca="false">IF(OR($C148="",$AA148="Open"),"",IF(AND($C148="Covered call",$L148="Assigned"),($F148-$J148)*$E$2*$H148,0))</f>
        <v/>
      </c>
      <c r="V148" s="15" t="str">
        <f aca="false">IF(OR($C148="",$AA148="Open"),"",$T148+$U148)</f>
        <v/>
      </c>
      <c r="W148" s="15" t="str">
        <f aca="false">IF($C148="","",IF(OR($C148="Long call",$C148="Long put"),$I148*$E$2*$H148,(IF($C148="Covered call",$J148,$F148)-$I148)*$E$2*$H148))</f>
        <v/>
      </c>
      <c r="X148" s="17" t="str">
        <f aca="false">IF(OR($C148="",$AA148="Open"),"",IF($W148&gt;0,$V148/$W148,""))</f>
        <v/>
      </c>
      <c r="Y148" s="17" t="str">
        <f aca="false">IF(OR($C148="",$AA148="Open"),"",IF($W148&gt;0,$X148*365/MAX($Q148,1),""))</f>
        <v/>
      </c>
      <c r="Z148" s="18" t="str">
        <f aca="false">IF(OR($C148="",$AA148="Open"),"",IF($M148&lt;&gt;"",$M148,$G148))</f>
        <v/>
      </c>
      <c r="AA148" s="12" t="str">
        <f aca="false">IF($C148="","",IF(OR($L148="Open",$L148=""),"Open","Realized"))</f>
        <v/>
      </c>
    </row>
    <row r="149" customFormat="false" ht="15" hidden="false" customHeight="false" outlineLevel="0" collapsed="false">
      <c r="A149" s="7"/>
      <c r="B149" s="9"/>
      <c r="C149" s="32"/>
      <c r="D149" s="12" t="str">
        <f aca="false">IF($C149="","",IF(OR($C149="Long call",$C149="Covered call"),"Call","Put"))</f>
        <v/>
      </c>
      <c r="E149" s="12" t="str">
        <f aca="false">IF($C149="","",IF(OR($C149="Long call",$C149="Long put"),"Buy to open","Sell to open"))</f>
        <v/>
      </c>
      <c r="F149" s="13"/>
      <c r="G149" s="7"/>
      <c r="H149" s="14"/>
      <c r="I149" s="13"/>
      <c r="J149" s="13"/>
      <c r="K149" s="13"/>
      <c r="L149" s="32"/>
      <c r="M149" s="7"/>
      <c r="N149" s="13"/>
      <c r="O149" s="15" t="str">
        <f aca="false">IF($C149="","",IF($E149="Sell to open",1,-1)*$I149*$E$2*$H149)</f>
        <v/>
      </c>
      <c r="P149" s="15" t="str">
        <f aca="false">IF($C149="","",IF($C149="Long call",$F149+$I149,IF($C149="Covered call",$J149-$I149,$F149-$I149)))</f>
        <v/>
      </c>
      <c r="Q149" s="16" t="str">
        <f aca="false">IF($C149="","",IF($AA149="Open",$B$2,IF($M149&lt;&gt;"",$M149,$G149))-$A149)</f>
        <v/>
      </c>
      <c r="R149" s="16" t="str">
        <f aca="false">IF($C149="","",IF($AA149="Open",MAX($G149-$B$2,0),""))</f>
        <v/>
      </c>
      <c r="S149" s="15" t="str">
        <f aca="false">IF(OR($C149="",$AA149="Open"),"",IF($L149="Closed",-IF($E149="Sell to open",1,-1)*$N149*$E$2*$H149,0))</f>
        <v/>
      </c>
      <c r="T149" s="15" t="str">
        <f aca="false">IF(OR($C149="",$AA149="Open"),"",$O149+$S149-$K149)</f>
        <v/>
      </c>
      <c r="U149" s="15" t="str">
        <f aca="false">IF(OR($C149="",$AA149="Open"),"",IF(AND($C149="Covered call",$L149="Assigned"),($F149-$J149)*$E$2*$H149,0))</f>
        <v/>
      </c>
      <c r="V149" s="15" t="str">
        <f aca="false">IF(OR($C149="",$AA149="Open"),"",$T149+$U149)</f>
        <v/>
      </c>
      <c r="W149" s="15" t="str">
        <f aca="false">IF($C149="","",IF(OR($C149="Long call",$C149="Long put"),$I149*$E$2*$H149,(IF($C149="Covered call",$J149,$F149)-$I149)*$E$2*$H149))</f>
        <v/>
      </c>
      <c r="X149" s="17" t="str">
        <f aca="false">IF(OR($C149="",$AA149="Open"),"",IF($W149&gt;0,$V149/$W149,""))</f>
        <v/>
      </c>
      <c r="Y149" s="17" t="str">
        <f aca="false">IF(OR($C149="",$AA149="Open"),"",IF($W149&gt;0,$X149*365/MAX($Q149,1),""))</f>
        <v/>
      </c>
      <c r="Z149" s="18" t="str">
        <f aca="false">IF(OR($C149="",$AA149="Open"),"",IF($M149&lt;&gt;"",$M149,$G149))</f>
        <v/>
      </c>
      <c r="AA149" s="12" t="str">
        <f aca="false">IF($C149="","",IF(OR($L149="Open",$L149=""),"Open","Realized"))</f>
        <v/>
      </c>
    </row>
    <row r="150" customFormat="false" ht="15" hidden="false" customHeight="false" outlineLevel="0" collapsed="false">
      <c r="A150" s="7"/>
      <c r="B150" s="9"/>
      <c r="C150" s="32"/>
      <c r="D150" s="12" t="str">
        <f aca="false">IF($C150="","",IF(OR($C150="Long call",$C150="Covered call"),"Call","Put"))</f>
        <v/>
      </c>
      <c r="E150" s="12" t="str">
        <f aca="false">IF($C150="","",IF(OR($C150="Long call",$C150="Long put"),"Buy to open","Sell to open"))</f>
        <v/>
      </c>
      <c r="F150" s="13"/>
      <c r="G150" s="7"/>
      <c r="H150" s="14"/>
      <c r="I150" s="13"/>
      <c r="J150" s="13"/>
      <c r="K150" s="13"/>
      <c r="L150" s="32"/>
      <c r="M150" s="7"/>
      <c r="N150" s="13"/>
      <c r="O150" s="15" t="str">
        <f aca="false">IF($C150="","",IF($E150="Sell to open",1,-1)*$I150*$E$2*$H150)</f>
        <v/>
      </c>
      <c r="P150" s="15" t="str">
        <f aca="false">IF($C150="","",IF($C150="Long call",$F150+$I150,IF($C150="Covered call",$J150-$I150,$F150-$I150)))</f>
        <v/>
      </c>
      <c r="Q150" s="16" t="str">
        <f aca="false">IF($C150="","",IF($AA150="Open",$B$2,IF($M150&lt;&gt;"",$M150,$G150))-$A150)</f>
        <v/>
      </c>
      <c r="R150" s="16" t="str">
        <f aca="false">IF($C150="","",IF($AA150="Open",MAX($G150-$B$2,0),""))</f>
        <v/>
      </c>
      <c r="S150" s="15" t="str">
        <f aca="false">IF(OR($C150="",$AA150="Open"),"",IF($L150="Closed",-IF($E150="Sell to open",1,-1)*$N150*$E$2*$H150,0))</f>
        <v/>
      </c>
      <c r="T150" s="15" t="str">
        <f aca="false">IF(OR($C150="",$AA150="Open"),"",$O150+$S150-$K150)</f>
        <v/>
      </c>
      <c r="U150" s="15" t="str">
        <f aca="false">IF(OR($C150="",$AA150="Open"),"",IF(AND($C150="Covered call",$L150="Assigned"),($F150-$J150)*$E$2*$H150,0))</f>
        <v/>
      </c>
      <c r="V150" s="15" t="str">
        <f aca="false">IF(OR($C150="",$AA150="Open"),"",$T150+$U150)</f>
        <v/>
      </c>
      <c r="W150" s="15" t="str">
        <f aca="false">IF($C150="","",IF(OR($C150="Long call",$C150="Long put"),$I150*$E$2*$H150,(IF($C150="Covered call",$J150,$F150)-$I150)*$E$2*$H150))</f>
        <v/>
      </c>
      <c r="X150" s="17" t="str">
        <f aca="false">IF(OR($C150="",$AA150="Open"),"",IF($W150&gt;0,$V150/$W150,""))</f>
        <v/>
      </c>
      <c r="Y150" s="17" t="str">
        <f aca="false">IF(OR($C150="",$AA150="Open"),"",IF($W150&gt;0,$X150*365/MAX($Q150,1),""))</f>
        <v/>
      </c>
      <c r="Z150" s="18" t="str">
        <f aca="false">IF(OR($C150="",$AA150="Open"),"",IF($M150&lt;&gt;"",$M150,$G150))</f>
        <v/>
      </c>
      <c r="AA150" s="12" t="str">
        <f aca="false">IF($C150="","",IF(OR($L150="Open",$L150=""),"Open","Realized"))</f>
        <v/>
      </c>
    </row>
    <row r="151" customFormat="false" ht="15" hidden="false" customHeight="false" outlineLevel="0" collapsed="false">
      <c r="A151" s="7"/>
      <c r="B151" s="9"/>
      <c r="C151" s="32"/>
      <c r="D151" s="12" t="str">
        <f aca="false">IF($C151="","",IF(OR($C151="Long call",$C151="Covered call"),"Call","Put"))</f>
        <v/>
      </c>
      <c r="E151" s="12" t="str">
        <f aca="false">IF($C151="","",IF(OR($C151="Long call",$C151="Long put"),"Buy to open","Sell to open"))</f>
        <v/>
      </c>
      <c r="F151" s="13"/>
      <c r="G151" s="7"/>
      <c r="H151" s="14"/>
      <c r="I151" s="13"/>
      <c r="J151" s="13"/>
      <c r="K151" s="13"/>
      <c r="L151" s="32"/>
      <c r="M151" s="7"/>
      <c r="N151" s="13"/>
      <c r="O151" s="15" t="str">
        <f aca="false">IF($C151="","",IF($E151="Sell to open",1,-1)*$I151*$E$2*$H151)</f>
        <v/>
      </c>
      <c r="P151" s="15" t="str">
        <f aca="false">IF($C151="","",IF($C151="Long call",$F151+$I151,IF($C151="Covered call",$J151-$I151,$F151-$I151)))</f>
        <v/>
      </c>
      <c r="Q151" s="16" t="str">
        <f aca="false">IF($C151="","",IF($AA151="Open",$B$2,IF($M151&lt;&gt;"",$M151,$G151))-$A151)</f>
        <v/>
      </c>
      <c r="R151" s="16" t="str">
        <f aca="false">IF($C151="","",IF($AA151="Open",MAX($G151-$B$2,0),""))</f>
        <v/>
      </c>
      <c r="S151" s="15" t="str">
        <f aca="false">IF(OR($C151="",$AA151="Open"),"",IF($L151="Closed",-IF($E151="Sell to open",1,-1)*$N151*$E$2*$H151,0))</f>
        <v/>
      </c>
      <c r="T151" s="15" t="str">
        <f aca="false">IF(OR($C151="",$AA151="Open"),"",$O151+$S151-$K151)</f>
        <v/>
      </c>
      <c r="U151" s="15" t="str">
        <f aca="false">IF(OR($C151="",$AA151="Open"),"",IF(AND($C151="Covered call",$L151="Assigned"),($F151-$J151)*$E$2*$H151,0))</f>
        <v/>
      </c>
      <c r="V151" s="15" t="str">
        <f aca="false">IF(OR($C151="",$AA151="Open"),"",$T151+$U151)</f>
        <v/>
      </c>
      <c r="W151" s="15" t="str">
        <f aca="false">IF($C151="","",IF(OR($C151="Long call",$C151="Long put"),$I151*$E$2*$H151,(IF($C151="Covered call",$J151,$F151)-$I151)*$E$2*$H151))</f>
        <v/>
      </c>
      <c r="X151" s="17" t="str">
        <f aca="false">IF(OR($C151="",$AA151="Open"),"",IF($W151&gt;0,$V151/$W151,""))</f>
        <v/>
      </c>
      <c r="Y151" s="17" t="str">
        <f aca="false">IF(OR($C151="",$AA151="Open"),"",IF($W151&gt;0,$X151*365/MAX($Q151,1),""))</f>
        <v/>
      </c>
      <c r="Z151" s="18" t="str">
        <f aca="false">IF(OR($C151="",$AA151="Open"),"",IF($M151&lt;&gt;"",$M151,$G151))</f>
        <v/>
      </c>
      <c r="AA151" s="12" t="str">
        <f aca="false">IF($C151="","",IF(OR($L151="Open",$L151=""),"Open","Realized"))</f>
        <v/>
      </c>
    </row>
    <row r="152" customFormat="false" ht="15" hidden="false" customHeight="false" outlineLevel="0" collapsed="false">
      <c r="A152" s="7"/>
      <c r="B152" s="9"/>
      <c r="C152" s="32"/>
      <c r="D152" s="12" t="str">
        <f aca="false">IF($C152="","",IF(OR($C152="Long call",$C152="Covered call"),"Call","Put"))</f>
        <v/>
      </c>
      <c r="E152" s="12" t="str">
        <f aca="false">IF($C152="","",IF(OR($C152="Long call",$C152="Long put"),"Buy to open","Sell to open"))</f>
        <v/>
      </c>
      <c r="F152" s="13"/>
      <c r="G152" s="7"/>
      <c r="H152" s="14"/>
      <c r="I152" s="13"/>
      <c r="J152" s="13"/>
      <c r="K152" s="13"/>
      <c r="L152" s="32"/>
      <c r="M152" s="7"/>
      <c r="N152" s="13"/>
      <c r="O152" s="15" t="str">
        <f aca="false">IF($C152="","",IF($E152="Sell to open",1,-1)*$I152*$E$2*$H152)</f>
        <v/>
      </c>
      <c r="P152" s="15" t="str">
        <f aca="false">IF($C152="","",IF($C152="Long call",$F152+$I152,IF($C152="Covered call",$J152-$I152,$F152-$I152)))</f>
        <v/>
      </c>
      <c r="Q152" s="16" t="str">
        <f aca="false">IF($C152="","",IF($AA152="Open",$B$2,IF($M152&lt;&gt;"",$M152,$G152))-$A152)</f>
        <v/>
      </c>
      <c r="R152" s="16" t="str">
        <f aca="false">IF($C152="","",IF($AA152="Open",MAX($G152-$B$2,0),""))</f>
        <v/>
      </c>
      <c r="S152" s="15" t="str">
        <f aca="false">IF(OR($C152="",$AA152="Open"),"",IF($L152="Closed",-IF($E152="Sell to open",1,-1)*$N152*$E$2*$H152,0))</f>
        <v/>
      </c>
      <c r="T152" s="15" t="str">
        <f aca="false">IF(OR($C152="",$AA152="Open"),"",$O152+$S152-$K152)</f>
        <v/>
      </c>
      <c r="U152" s="15" t="str">
        <f aca="false">IF(OR($C152="",$AA152="Open"),"",IF(AND($C152="Covered call",$L152="Assigned"),($F152-$J152)*$E$2*$H152,0))</f>
        <v/>
      </c>
      <c r="V152" s="15" t="str">
        <f aca="false">IF(OR($C152="",$AA152="Open"),"",$T152+$U152)</f>
        <v/>
      </c>
      <c r="W152" s="15" t="str">
        <f aca="false">IF($C152="","",IF(OR($C152="Long call",$C152="Long put"),$I152*$E$2*$H152,(IF($C152="Covered call",$J152,$F152)-$I152)*$E$2*$H152))</f>
        <v/>
      </c>
      <c r="X152" s="17" t="str">
        <f aca="false">IF(OR($C152="",$AA152="Open"),"",IF($W152&gt;0,$V152/$W152,""))</f>
        <v/>
      </c>
      <c r="Y152" s="17" t="str">
        <f aca="false">IF(OR($C152="",$AA152="Open"),"",IF($W152&gt;0,$X152*365/MAX($Q152,1),""))</f>
        <v/>
      </c>
      <c r="Z152" s="18" t="str">
        <f aca="false">IF(OR($C152="",$AA152="Open"),"",IF($M152&lt;&gt;"",$M152,$G152))</f>
        <v/>
      </c>
      <c r="AA152" s="12" t="str">
        <f aca="false">IF($C152="","",IF(OR($L152="Open",$L152=""),"Open","Realized"))</f>
        <v/>
      </c>
    </row>
    <row r="153" customFormat="false" ht="15" hidden="false" customHeight="false" outlineLevel="0" collapsed="false">
      <c r="A153" s="7"/>
      <c r="B153" s="9"/>
      <c r="C153" s="32"/>
      <c r="D153" s="12" t="str">
        <f aca="false">IF($C153="","",IF(OR($C153="Long call",$C153="Covered call"),"Call","Put"))</f>
        <v/>
      </c>
      <c r="E153" s="12" t="str">
        <f aca="false">IF($C153="","",IF(OR($C153="Long call",$C153="Long put"),"Buy to open","Sell to open"))</f>
        <v/>
      </c>
      <c r="F153" s="13"/>
      <c r="G153" s="7"/>
      <c r="H153" s="14"/>
      <c r="I153" s="13"/>
      <c r="J153" s="13"/>
      <c r="K153" s="13"/>
      <c r="L153" s="32"/>
      <c r="M153" s="7"/>
      <c r="N153" s="13"/>
      <c r="O153" s="15" t="str">
        <f aca="false">IF($C153="","",IF($E153="Sell to open",1,-1)*$I153*$E$2*$H153)</f>
        <v/>
      </c>
      <c r="P153" s="15" t="str">
        <f aca="false">IF($C153="","",IF($C153="Long call",$F153+$I153,IF($C153="Covered call",$J153-$I153,$F153-$I153)))</f>
        <v/>
      </c>
      <c r="Q153" s="16" t="str">
        <f aca="false">IF($C153="","",IF($AA153="Open",$B$2,IF($M153&lt;&gt;"",$M153,$G153))-$A153)</f>
        <v/>
      </c>
      <c r="R153" s="16" t="str">
        <f aca="false">IF($C153="","",IF($AA153="Open",MAX($G153-$B$2,0),""))</f>
        <v/>
      </c>
      <c r="S153" s="15" t="str">
        <f aca="false">IF(OR($C153="",$AA153="Open"),"",IF($L153="Closed",-IF($E153="Sell to open",1,-1)*$N153*$E$2*$H153,0))</f>
        <v/>
      </c>
      <c r="T153" s="15" t="str">
        <f aca="false">IF(OR($C153="",$AA153="Open"),"",$O153+$S153-$K153)</f>
        <v/>
      </c>
      <c r="U153" s="15" t="str">
        <f aca="false">IF(OR($C153="",$AA153="Open"),"",IF(AND($C153="Covered call",$L153="Assigned"),($F153-$J153)*$E$2*$H153,0))</f>
        <v/>
      </c>
      <c r="V153" s="15" t="str">
        <f aca="false">IF(OR($C153="",$AA153="Open"),"",$T153+$U153)</f>
        <v/>
      </c>
      <c r="W153" s="15" t="str">
        <f aca="false">IF($C153="","",IF(OR($C153="Long call",$C153="Long put"),$I153*$E$2*$H153,(IF($C153="Covered call",$J153,$F153)-$I153)*$E$2*$H153))</f>
        <v/>
      </c>
      <c r="X153" s="17" t="str">
        <f aca="false">IF(OR($C153="",$AA153="Open"),"",IF($W153&gt;0,$V153/$W153,""))</f>
        <v/>
      </c>
      <c r="Y153" s="17" t="str">
        <f aca="false">IF(OR($C153="",$AA153="Open"),"",IF($W153&gt;0,$X153*365/MAX($Q153,1),""))</f>
        <v/>
      </c>
      <c r="Z153" s="18" t="str">
        <f aca="false">IF(OR($C153="",$AA153="Open"),"",IF($M153&lt;&gt;"",$M153,$G153))</f>
        <v/>
      </c>
      <c r="AA153" s="12" t="str">
        <f aca="false">IF($C153="","",IF(OR($L153="Open",$L153=""),"Open","Realized"))</f>
        <v/>
      </c>
    </row>
    <row r="154" customFormat="false" ht="15" hidden="false" customHeight="false" outlineLevel="0" collapsed="false">
      <c r="A154" s="7"/>
      <c r="B154" s="9"/>
      <c r="C154" s="32"/>
      <c r="D154" s="12" t="str">
        <f aca="false">IF($C154="","",IF(OR($C154="Long call",$C154="Covered call"),"Call","Put"))</f>
        <v/>
      </c>
      <c r="E154" s="12" t="str">
        <f aca="false">IF($C154="","",IF(OR($C154="Long call",$C154="Long put"),"Buy to open","Sell to open"))</f>
        <v/>
      </c>
      <c r="F154" s="13"/>
      <c r="G154" s="7"/>
      <c r="H154" s="14"/>
      <c r="I154" s="13"/>
      <c r="J154" s="13"/>
      <c r="K154" s="13"/>
      <c r="L154" s="32"/>
      <c r="M154" s="7"/>
      <c r="N154" s="13"/>
      <c r="O154" s="15" t="str">
        <f aca="false">IF($C154="","",IF($E154="Sell to open",1,-1)*$I154*$E$2*$H154)</f>
        <v/>
      </c>
      <c r="P154" s="15" t="str">
        <f aca="false">IF($C154="","",IF($C154="Long call",$F154+$I154,IF($C154="Covered call",$J154-$I154,$F154-$I154)))</f>
        <v/>
      </c>
      <c r="Q154" s="16" t="str">
        <f aca="false">IF($C154="","",IF($AA154="Open",$B$2,IF($M154&lt;&gt;"",$M154,$G154))-$A154)</f>
        <v/>
      </c>
      <c r="R154" s="16" t="str">
        <f aca="false">IF($C154="","",IF($AA154="Open",MAX($G154-$B$2,0),""))</f>
        <v/>
      </c>
      <c r="S154" s="15" t="str">
        <f aca="false">IF(OR($C154="",$AA154="Open"),"",IF($L154="Closed",-IF($E154="Sell to open",1,-1)*$N154*$E$2*$H154,0))</f>
        <v/>
      </c>
      <c r="T154" s="15" t="str">
        <f aca="false">IF(OR($C154="",$AA154="Open"),"",$O154+$S154-$K154)</f>
        <v/>
      </c>
      <c r="U154" s="15" t="str">
        <f aca="false">IF(OR($C154="",$AA154="Open"),"",IF(AND($C154="Covered call",$L154="Assigned"),($F154-$J154)*$E$2*$H154,0))</f>
        <v/>
      </c>
      <c r="V154" s="15" t="str">
        <f aca="false">IF(OR($C154="",$AA154="Open"),"",$T154+$U154)</f>
        <v/>
      </c>
      <c r="W154" s="15" t="str">
        <f aca="false">IF($C154="","",IF(OR($C154="Long call",$C154="Long put"),$I154*$E$2*$H154,(IF($C154="Covered call",$J154,$F154)-$I154)*$E$2*$H154))</f>
        <v/>
      </c>
      <c r="X154" s="17" t="str">
        <f aca="false">IF(OR($C154="",$AA154="Open"),"",IF($W154&gt;0,$V154/$W154,""))</f>
        <v/>
      </c>
      <c r="Y154" s="17" t="str">
        <f aca="false">IF(OR($C154="",$AA154="Open"),"",IF($W154&gt;0,$X154*365/MAX($Q154,1),""))</f>
        <v/>
      </c>
      <c r="Z154" s="18" t="str">
        <f aca="false">IF(OR($C154="",$AA154="Open"),"",IF($M154&lt;&gt;"",$M154,$G154))</f>
        <v/>
      </c>
      <c r="AA154" s="12" t="str">
        <f aca="false">IF($C154="","",IF(OR($L154="Open",$L154=""),"Open","Realized"))</f>
        <v/>
      </c>
    </row>
    <row r="155" customFormat="false" ht="15" hidden="false" customHeight="false" outlineLevel="0" collapsed="false">
      <c r="A155" s="7"/>
      <c r="B155" s="9"/>
      <c r="C155" s="32"/>
      <c r="D155" s="12" t="str">
        <f aca="false">IF($C155="","",IF(OR($C155="Long call",$C155="Covered call"),"Call","Put"))</f>
        <v/>
      </c>
      <c r="E155" s="12" t="str">
        <f aca="false">IF($C155="","",IF(OR($C155="Long call",$C155="Long put"),"Buy to open","Sell to open"))</f>
        <v/>
      </c>
      <c r="F155" s="13"/>
      <c r="G155" s="7"/>
      <c r="H155" s="14"/>
      <c r="I155" s="13"/>
      <c r="J155" s="13"/>
      <c r="K155" s="13"/>
      <c r="L155" s="32"/>
      <c r="M155" s="7"/>
      <c r="N155" s="13"/>
      <c r="O155" s="15" t="str">
        <f aca="false">IF($C155="","",IF($E155="Sell to open",1,-1)*$I155*$E$2*$H155)</f>
        <v/>
      </c>
      <c r="P155" s="15" t="str">
        <f aca="false">IF($C155="","",IF($C155="Long call",$F155+$I155,IF($C155="Covered call",$J155-$I155,$F155-$I155)))</f>
        <v/>
      </c>
      <c r="Q155" s="16" t="str">
        <f aca="false">IF($C155="","",IF($AA155="Open",$B$2,IF($M155&lt;&gt;"",$M155,$G155))-$A155)</f>
        <v/>
      </c>
      <c r="R155" s="16" t="str">
        <f aca="false">IF($C155="","",IF($AA155="Open",MAX($G155-$B$2,0),""))</f>
        <v/>
      </c>
      <c r="S155" s="15" t="str">
        <f aca="false">IF(OR($C155="",$AA155="Open"),"",IF($L155="Closed",-IF($E155="Sell to open",1,-1)*$N155*$E$2*$H155,0))</f>
        <v/>
      </c>
      <c r="T155" s="15" t="str">
        <f aca="false">IF(OR($C155="",$AA155="Open"),"",$O155+$S155-$K155)</f>
        <v/>
      </c>
      <c r="U155" s="15" t="str">
        <f aca="false">IF(OR($C155="",$AA155="Open"),"",IF(AND($C155="Covered call",$L155="Assigned"),($F155-$J155)*$E$2*$H155,0))</f>
        <v/>
      </c>
      <c r="V155" s="15" t="str">
        <f aca="false">IF(OR($C155="",$AA155="Open"),"",$T155+$U155)</f>
        <v/>
      </c>
      <c r="W155" s="15" t="str">
        <f aca="false">IF($C155="","",IF(OR($C155="Long call",$C155="Long put"),$I155*$E$2*$H155,(IF($C155="Covered call",$J155,$F155)-$I155)*$E$2*$H155))</f>
        <v/>
      </c>
      <c r="X155" s="17" t="str">
        <f aca="false">IF(OR($C155="",$AA155="Open"),"",IF($W155&gt;0,$V155/$W155,""))</f>
        <v/>
      </c>
      <c r="Y155" s="17" t="str">
        <f aca="false">IF(OR($C155="",$AA155="Open"),"",IF($W155&gt;0,$X155*365/MAX($Q155,1),""))</f>
        <v/>
      </c>
      <c r="Z155" s="18" t="str">
        <f aca="false">IF(OR($C155="",$AA155="Open"),"",IF($M155&lt;&gt;"",$M155,$G155))</f>
        <v/>
      </c>
      <c r="AA155" s="12" t="str">
        <f aca="false">IF($C155="","",IF(OR($L155="Open",$L155=""),"Open","Realized"))</f>
        <v/>
      </c>
    </row>
    <row r="156" customFormat="false" ht="15" hidden="false" customHeight="false" outlineLevel="0" collapsed="false">
      <c r="A156" s="7"/>
      <c r="B156" s="9"/>
      <c r="C156" s="32"/>
      <c r="D156" s="12" t="str">
        <f aca="false">IF($C156="","",IF(OR($C156="Long call",$C156="Covered call"),"Call","Put"))</f>
        <v/>
      </c>
      <c r="E156" s="12" t="str">
        <f aca="false">IF($C156="","",IF(OR($C156="Long call",$C156="Long put"),"Buy to open","Sell to open"))</f>
        <v/>
      </c>
      <c r="F156" s="13"/>
      <c r="G156" s="7"/>
      <c r="H156" s="14"/>
      <c r="I156" s="13"/>
      <c r="J156" s="13"/>
      <c r="K156" s="13"/>
      <c r="L156" s="32"/>
      <c r="M156" s="7"/>
      <c r="N156" s="13"/>
      <c r="O156" s="15" t="str">
        <f aca="false">IF($C156="","",IF($E156="Sell to open",1,-1)*$I156*$E$2*$H156)</f>
        <v/>
      </c>
      <c r="P156" s="15" t="str">
        <f aca="false">IF($C156="","",IF($C156="Long call",$F156+$I156,IF($C156="Covered call",$J156-$I156,$F156-$I156)))</f>
        <v/>
      </c>
      <c r="Q156" s="16" t="str">
        <f aca="false">IF($C156="","",IF($AA156="Open",$B$2,IF($M156&lt;&gt;"",$M156,$G156))-$A156)</f>
        <v/>
      </c>
      <c r="R156" s="16" t="str">
        <f aca="false">IF($C156="","",IF($AA156="Open",MAX($G156-$B$2,0),""))</f>
        <v/>
      </c>
      <c r="S156" s="15" t="str">
        <f aca="false">IF(OR($C156="",$AA156="Open"),"",IF($L156="Closed",-IF($E156="Sell to open",1,-1)*$N156*$E$2*$H156,0))</f>
        <v/>
      </c>
      <c r="T156" s="15" t="str">
        <f aca="false">IF(OR($C156="",$AA156="Open"),"",$O156+$S156-$K156)</f>
        <v/>
      </c>
      <c r="U156" s="15" t="str">
        <f aca="false">IF(OR($C156="",$AA156="Open"),"",IF(AND($C156="Covered call",$L156="Assigned"),($F156-$J156)*$E$2*$H156,0))</f>
        <v/>
      </c>
      <c r="V156" s="15" t="str">
        <f aca="false">IF(OR($C156="",$AA156="Open"),"",$T156+$U156)</f>
        <v/>
      </c>
      <c r="W156" s="15" t="str">
        <f aca="false">IF($C156="","",IF(OR($C156="Long call",$C156="Long put"),$I156*$E$2*$H156,(IF($C156="Covered call",$J156,$F156)-$I156)*$E$2*$H156))</f>
        <v/>
      </c>
      <c r="X156" s="17" t="str">
        <f aca="false">IF(OR($C156="",$AA156="Open"),"",IF($W156&gt;0,$V156/$W156,""))</f>
        <v/>
      </c>
      <c r="Y156" s="17" t="str">
        <f aca="false">IF(OR($C156="",$AA156="Open"),"",IF($W156&gt;0,$X156*365/MAX($Q156,1),""))</f>
        <v/>
      </c>
      <c r="Z156" s="18" t="str">
        <f aca="false">IF(OR($C156="",$AA156="Open"),"",IF($M156&lt;&gt;"",$M156,$G156))</f>
        <v/>
      </c>
      <c r="AA156" s="12" t="str">
        <f aca="false">IF($C156="","",IF(OR($L156="Open",$L156=""),"Open","Realized"))</f>
        <v/>
      </c>
    </row>
    <row r="157" customFormat="false" ht="15" hidden="false" customHeight="false" outlineLevel="0" collapsed="false">
      <c r="A157" s="7"/>
      <c r="B157" s="9"/>
      <c r="C157" s="32"/>
      <c r="D157" s="12" t="str">
        <f aca="false">IF($C157="","",IF(OR($C157="Long call",$C157="Covered call"),"Call","Put"))</f>
        <v/>
      </c>
      <c r="E157" s="12" t="str">
        <f aca="false">IF($C157="","",IF(OR($C157="Long call",$C157="Long put"),"Buy to open","Sell to open"))</f>
        <v/>
      </c>
      <c r="F157" s="13"/>
      <c r="G157" s="7"/>
      <c r="H157" s="14"/>
      <c r="I157" s="13"/>
      <c r="J157" s="13"/>
      <c r="K157" s="13"/>
      <c r="L157" s="32"/>
      <c r="M157" s="7"/>
      <c r="N157" s="13"/>
      <c r="O157" s="15" t="str">
        <f aca="false">IF($C157="","",IF($E157="Sell to open",1,-1)*$I157*$E$2*$H157)</f>
        <v/>
      </c>
      <c r="P157" s="15" t="str">
        <f aca="false">IF($C157="","",IF($C157="Long call",$F157+$I157,IF($C157="Covered call",$J157-$I157,$F157-$I157)))</f>
        <v/>
      </c>
      <c r="Q157" s="16" t="str">
        <f aca="false">IF($C157="","",IF($AA157="Open",$B$2,IF($M157&lt;&gt;"",$M157,$G157))-$A157)</f>
        <v/>
      </c>
      <c r="R157" s="16" t="str">
        <f aca="false">IF($C157="","",IF($AA157="Open",MAX($G157-$B$2,0),""))</f>
        <v/>
      </c>
      <c r="S157" s="15" t="str">
        <f aca="false">IF(OR($C157="",$AA157="Open"),"",IF($L157="Closed",-IF($E157="Sell to open",1,-1)*$N157*$E$2*$H157,0))</f>
        <v/>
      </c>
      <c r="T157" s="15" t="str">
        <f aca="false">IF(OR($C157="",$AA157="Open"),"",$O157+$S157-$K157)</f>
        <v/>
      </c>
      <c r="U157" s="15" t="str">
        <f aca="false">IF(OR($C157="",$AA157="Open"),"",IF(AND($C157="Covered call",$L157="Assigned"),($F157-$J157)*$E$2*$H157,0))</f>
        <v/>
      </c>
      <c r="V157" s="15" t="str">
        <f aca="false">IF(OR($C157="",$AA157="Open"),"",$T157+$U157)</f>
        <v/>
      </c>
      <c r="W157" s="15" t="str">
        <f aca="false">IF($C157="","",IF(OR($C157="Long call",$C157="Long put"),$I157*$E$2*$H157,(IF($C157="Covered call",$J157,$F157)-$I157)*$E$2*$H157))</f>
        <v/>
      </c>
      <c r="X157" s="17" t="str">
        <f aca="false">IF(OR($C157="",$AA157="Open"),"",IF($W157&gt;0,$V157/$W157,""))</f>
        <v/>
      </c>
      <c r="Y157" s="17" t="str">
        <f aca="false">IF(OR($C157="",$AA157="Open"),"",IF($W157&gt;0,$X157*365/MAX($Q157,1),""))</f>
        <v/>
      </c>
      <c r="Z157" s="18" t="str">
        <f aca="false">IF(OR($C157="",$AA157="Open"),"",IF($M157&lt;&gt;"",$M157,$G157))</f>
        <v/>
      </c>
      <c r="AA157" s="12" t="str">
        <f aca="false">IF($C157="","",IF(OR($L157="Open",$L157=""),"Open","Realized"))</f>
        <v/>
      </c>
    </row>
    <row r="158" customFormat="false" ht="15" hidden="false" customHeight="false" outlineLevel="0" collapsed="false">
      <c r="A158" s="7"/>
      <c r="B158" s="9"/>
      <c r="C158" s="32"/>
      <c r="D158" s="12" t="str">
        <f aca="false">IF($C158="","",IF(OR($C158="Long call",$C158="Covered call"),"Call","Put"))</f>
        <v/>
      </c>
      <c r="E158" s="12" t="str">
        <f aca="false">IF($C158="","",IF(OR($C158="Long call",$C158="Long put"),"Buy to open","Sell to open"))</f>
        <v/>
      </c>
      <c r="F158" s="13"/>
      <c r="G158" s="7"/>
      <c r="H158" s="14"/>
      <c r="I158" s="13"/>
      <c r="J158" s="13"/>
      <c r="K158" s="13"/>
      <c r="L158" s="32"/>
      <c r="M158" s="7"/>
      <c r="N158" s="13"/>
      <c r="O158" s="15" t="str">
        <f aca="false">IF($C158="","",IF($E158="Sell to open",1,-1)*$I158*$E$2*$H158)</f>
        <v/>
      </c>
      <c r="P158" s="15" t="str">
        <f aca="false">IF($C158="","",IF($C158="Long call",$F158+$I158,IF($C158="Covered call",$J158-$I158,$F158-$I158)))</f>
        <v/>
      </c>
      <c r="Q158" s="16" t="str">
        <f aca="false">IF($C158="","",IF($AA158="Open",$B$2,IF($M158&lt;&gt;"",$M158,$G158))-$A158)</f>
        <v/>
      </c>
      <c r="R158" s="16" t="str">
        <f aca="false">IF($C158="","",IF($AA158="Open",MAX($G158-$B$2,0),""))</f>
        <v/>
      </c>
      <c r="S158" s="15" t="str">
        <f aca="false">IF(OR($C158="",$AA158="Open"),"",IF($L158="Closed",-IF($E158="Sell to open",1,-1)*$N158*$E$2*$H158,0))</f>
        <v/>
      </c>
      <c r="T158" s="15" t="str">
        <f aca="false">IF(OR($C158="",$AA158="Open"),"",$O158+$S158-$K158)</f>
        <v/>
      </c>
      <c r="U158" s="15" t="str">
        <f aca="false">IF(OR($C158="",$AA158="Open"),"",IF(AND($C158="Covered call",$L158="Assigned"),($F158-$J158)*$E$2*$H158,0))</f>
        <v/>
      </c>
      <c r="V158" s="15" t="str">
        <f aca="false">IF(OR($C158="",$AA158="Open"),"",$T158+$U158)</f>
        <v/>
      </c>
      <c r="W158" s="15" t="str">
        <f aca="false">IF($C158="","",IF(OR($C158="Long call",$C158="Long put"),$I158*$E$2*$H158,(IF($C158="Covered call",$J158,$F158)-$I158)*$E$2*$H158))</f>
        <v/>
      </c>
      <c r="X158" s="17" t="str">
        <f aca="false">IF(OR($C158="",$AA158="Open"),"",IF($W158&gt;0,$V158/$W158,""))</f>
        <v/>
      </c>
      <c r="Y158" s="17" t="str">
        <f aca="false">IF(OR($C158="",$AA158="Open"),"",IF($W158&gt;0,$X158*365/MAX($Q158,1),""))</f>
        <v/>
      </c>
      <c r="Z158" s="18" t="str">
        <f aca="false">IF(OR($C158="",$AA158="Open"),"",IF($M158&lt;&gt;"",$M158,$G158))</f>
        <v/>
      </c>
      <c r="AA158" s="12" t="str">
        <f aca="false">IF($C158="","",IF(OR($L158="Open",$L158=""),"Open","Realized"))</f>
        <v/>
      </c>
    </row>
    <row r="159" customFormat="false" ht="15" hidden="false" customHeight="false" outlineLevel="0" collapsed="false">
      <c r="A159" s="7"/>
      <c r="B159" s="9"/>
      <c r="C159" s="32"/>
      <c r="D159" s="12" t="str">
        <f aca="false">IF($C159="","",IF(OR($C159="Long call",$C159="Covered call"),"Call","Put"))</f>
        <v/>
      </c>
      <c r="E159" s="12" t="str">
        <f aca="false">IF($C159="","",IF(OR($C159="Long call",$C159="Long put"),"Buy to open","Sell to open"))</f>
        <v/>
      </c>
      <c r="F159" s="13"/>
      <c r="G159" s="7"/>
      <c r="H159" s="14"/>
      <c r="I159" s="13"/>
      <c r="J159" s="13"/>
      <c r="K159" s="13"/>
      <c r="L159" s="32"/>
      <c r="M159" s="7"/>
      <c r="N159" s="13"/>
      <c r="O159" s="15" t="str">
        <f aca="false">IF($C159="","",IF($E159="Sell to open",1,-1)*$I159*$E$2*$H159)</f>
        <v/>
      </c>
      <c r="P159" s="15" t="str">
        <f aca="false">IF($C159="","",IF($C159="Long call",$F159+$I159,IF($C159="Covered call",$J159-$I159,$F159-$I159)))</f>
        <v/>
      </c>
      <c r="Q159" s="16" t="str">
        <f aca="false">IF($C159="","",IF($AA159="Open",$B$2,IF($M159&lt;&gt;"",$M159,$G159))-$A159)</f>
        <v/>
      </c>
      <c r="R159" s="16" t="str">
        <f aca="false">IF($C159="","",IF($AA159="Open",MAX($G159-$B$2,0),""))</f>
        <v/>
      </c>
      <c r="S159" s="15" t="str">
        <f aca="false">IF(OR($C159="",$AA159="Open"),"",IF($L159="Closed",-IF($E159="Sell to open",1,-1)*$N159*$E$2*$H159,0))</f>
        <v/>
      </c>
      <c r="T159" s="15" t="str">
        <f aca="false">IF(OR($C159="",$AA159="Open"),"",$O159+$S159-$K159)</f>
        <v/>
      </c>
      <c r="U159" s="15" t="str">
        <f aca="false">IF(OR($C159="",$AA159="Open"),"",IF(AND($C159="Covered call",$L159="Assigned"),($F159-$J159)*$E$2*$H159,0))</f>
        <v/>
      </c>
      <c r="V159" s="15" t="str">
        <f aca="false">IF(OR($C159="",$AA159="Open"),"",$T159+$U159)</f>
        <v/>
      </c>
      <c r="W159" s="15" t="str">
        <f aca="false">IF($C159="","",IF(OR($C159="Long call",$C159="Long put"),$I159*$E$2*$H159,(IF($C159="Covered call",$J159,$F159)-$I159)*$E$2*$H159))</f>
        <v/>
      </c>
      <c r="X159" s="17" t="str">
        <f aca="false">IF(OR($C159="",$AA159="Open"),"",IF($W159&gt;0,$V159/$W159,""))</f>
        <v/>
      </c>
      <c r="Y159" s="17" t="str">
        <f aca="false">IF(OR($C159="",$AA159="Open"),"",IF($W159&gt;0,$X159*365/MAX($Q159,1),""))</f>
        <v/>
      </c>
      <c r="Z159" s="18" t="str">
        <f aca="false">IF(OR($C159="",$AA159="Open"),"",IF($M159&lt;&gt;"",$M159,$G159))</f>
        <v/>
      </c>
      <c r="AA159" s="12" t="str">
        <f aca="false">IF($C159="","",IF(OR($L159="Open",$L159=""),"Open","Realized"))</f>
        <v/>
      </c>
    </row>
    <row r="160" customFormat="false" ht="15" hidden="false" customHeight="false" outlineLevel="0" collapsed="false">
      <c r="A160" s="7"/>
      <c r="B160" s="9"/>
      <c r="C160" s="32"/>
      <c r="D160" s="12" t="str">
        <f aca="false">IF($C160="","",IF(OR($C160="Long call",$C160="Covered call"),"Call","Put"))</f>
        <v/>
      </c>
      <c r="E160" s="12" t="str">
        <f aca="false">IF($C160="","",IF(OR($C160="Long call",$C160="Long put"),"Buy to open","Sell to open"))</f>
        <v/>
      </c>
      <c r="F160" s="13"/>
      <c r="G160" s="7"/>
      <c r="H160" s="14"/>
      <c r="I160" s="13"/>
      <c r="J160" s="13"/>
      <c r="K160" s="13"/>
      <c r="L160" s="32"/>
      <c r="M160" s="7"/>
      <c r="N160" s="13"/>
      <c r="O160" s="15" t="str">
        <f aca="false">IF($C160="","",IF($E160="Sell to open",1,-1)*$I160*$E$2*$H160)</f>
        <v/>
      </c>
      <c r="P160" s="15" t="str">
        <f aca="false">IF($C160="","",IF($C160="Long call",$F160+$I160,IF($C160="Covered call",$J160-$I160,$F160-$I160)))</f>
        <v/>
      </c>
      <c r="Q160" s="16" t="str">
        <f aca="false">IF($C160="","",IF($AA160="Open",$B$2,IF($M160&lt;&gt;"",$M160,$G160))-$A160)</f>
        <v/>
      </c>
      <c r="R160" s="16" t="str">
        <f aca="false">IF($C160="","",IF($AA160="Open",MAX($G160-$B$2,0),""))</f>
        <v/>
      </c>
      <c r="S160" s="15" t="str">
        <f aca="false">IF(OR($C160="",$AA160="Open"),"",IF($L160="Closed",-IF($E160="Sell to open",1,-1)*$N160*$E$2*$H160,0))</f>
        <v/>
      </c>
      <c r="T160" s="15" t="str">
        <f aca="false">IF(OR($C160="",$AA160="Open"),"",$O160+$S160-$K160)</f>
        <v/>
      </c>
      <c r="U160" s="15" t="str">
        <f aca="false">IF(OR($C160="",$AA160="Open"),"",IF(AND($C160="Covered call",$L160="Assigned"),($F160-$J160)*$E$2*$H160,0))</f>
        <v/>
      </c>
      <c r="V160" s="15" t="str">
        <f aca="false">IF(OR($C160="",$AA160="Open"),"",$T160+$U160)</f>
        <v/>
      </c>
      <c r="W160" s="15" t="str">
        <f aca="false">IF($C160="","",IF(OR($C160="Long call",$C160="Long put"),$I160*$E$2*$H160,(IF($C160="Covered call",$J160,$F160)-$I160)*$E$2*$H160))</f>
        <v/>
      </c>
      <c r="X160" s="17" t="str">
        <f aca="false">IF(OR($C160="",$AA160="Open"),"",IF($W160&gt;0,$V160/$W160,""))</f>
        <v/>
      </c>
      <c r="Y160" s="17" t="str">
        <f aca="false">IF(OR($C160="",$AA160="Open"),"",IF($W160&gt;0,$X160*365/MAX($Q160,1),""))</f>
        <v/>
      </c>
      <c r="Z160" s="18" t="str">
        <f aca="false">IF(OR($C160="",$AA160="Open"),"",IF($M160&lt;&gt;"",$M160,$G160))</f>
        <v/>
      </c>
      <c r="AA160" s="12" t="str">
        <f aca="false">IF($C160="","",IF(OR($L160="Open",$L160=""),"Open","Realized"))</f>
        <v/>
      </c>
    </row>
    <row r="161" customFormat="false" ht="15" hidden="false" customHeight="false" outlineLevel="0" collapsed="false">
      <c r="A161" s="7"/>
      <c r="B161" s="9"/>
      <c r="C161" s="32"/>
      <c r="D161" s="12" t="str">
        <f aca="false">IF($C161="","",IF(OR($C161="Long call",$C161="Covered call"),"Call","Put"))</f>
        <v/>
      </c>
      <c r="E161" s="12" t="str">
        <f aca="false">IF($C161="","",IF(OR($C161="Long call",$C161="Long put"),"Buy to open","Sell to open"))</f>
        <v/>
      </c>
      <c r="F161" s="13"/>
      <c r="G161" s="7"/>
      <c r="H161" s="14"/>
      <c r="I161" s="13"/>
      <c r="J161" s="13"/>
      <c r="K161" s="13"/>
      <c r="L161" s="32"/>
      <c r="M161" s="7"/>
      <c r="N161" s="13"/>
      <c r="O161" s="15" t="str">
        <f aca="false">IF($C161="","",IF($E161="Sell to open",1,-1)*$I161*$E$2*$H161)</f>
        <v/>
      </c>
      <c r="P161" s="15" t="str">
        <f aca="false">IF($C161="","",IF($C161="Long call",$F161+$I161,IF($C161="Covered call",$J161-$I161,$F161-$I161)))</f>
        <v/>
      </c>
      <c r="Q161" s="16" t="str">
        <f aca="false">IF($C161="","",IF($AA161="Open",$B$2,IF($M161&lt;&gt;"",$M161,$G161))-$A161)</f>
        <v/>
      </c>
      <c r="R161" s="16" t="str">
        <f aca="false">IF($C161="","",IF($AA161="Open",MAX($G161-$B$2,0),""))</f>
        <v/>
      </c>
      <c r="S161" s="15" t="str">
        <f aca="false">IF(OR($C161="",$AA161="Open"),"",IF($L161="Closed",-IF($E161="Sell to open",1,-1)*$N161*$E$2*$H161,0))</f>
        <v/>
      </c>
      <c r="T161" s="15" t="str">
        <f aca="false">IF(OR($C161="",$AA161="Open"),"",$O161+$S161-$K161)</f>
        <v/>
      </c>
      <c r="U161" s="15" t="str">
        <f aca="false">IF(OR($C161="",$AA161="Open"),"",IF(AND($C161="Covered call",$L161="Assigned"),($F161-$J161)*$E$2*$H161,0))</f>
        <v/>
      </c>
      <c r="V161" s="15" t="str">
        <f aca="false">IF(OR($C161="",$AA161="Open"),"",$T161+$U161)</f>
        <v/>
      </c>
      <c r="W161" s="15" t="str">
        <f aca="false">IF($C161="","",IF(OR($C161="Long call",$C161="Long put"),$I161*$E$2*$H161,(IF($C161="Covered call",$J161,$F161)-$I161)*$E$2*$H161))</f>
        <v/>
      </c>
      <c r="X161" s="17" t="str">
        <f aca="false">IF(OR($C161="",$AA161="Open"),"",IF($W161&gt;0,$V161/$W161,""))</f>
        <v/>
      </c>
      <c r="Y161" s="17" t="str">
        <f aca="false">IF(OR($C161="",$AA161="Open"),"",IF($W161&gt;0,$X161*365/MAX($Q161,1),""))</f>
        <v/>
      </c>
      <c r="Z161" s="18" t="str">
        <f aca="false">IF(OR($C161="",$AA161="Open"),"",IF($M161&lt;&gt;"",$M161,$G161))</f>
        <v/>
      </c>
      <c r="AA161" s="12" t="str">
        <f aca="false">IF($C161="","",IF(OR($L161="Open",$L161=""),"Open","Realized"))</f>
        <v/>
      </c>
    </row>
    <row r="162" customFormat="false" ht="15" hidden="false" customHeight="false" outlineLevel="0" collapsed="false">
      <c r="A162" s="7"/>
      <c r="B162" s="9"/>
      <c r="C162" s="32"/>
      <c r="D162" s="12" t="str">
        <f aca="false">IF($C162="","",IF(OR($C162="Long call",$C162="Covered call"),"Call","Put"))</f>
        <v/>
      </c>
      <c r="E162" s="12" t="str">
        <f aca="false">IF($C162="","",IF(OR($C162="Long call",$C162="Long put"),"Buy to open","Sell to open"))</f>
        <v/>
      </c>
      <c r="F162" s="13"/>
      <c r="G162" s="7"/>
      <c r="H162" s="14"/>
      <c r="I162" s="13"/>
      <c r="J162" s="13"/>
      <c r="K162" s="13"/>
      <c r="L162" s="32"/>
      <c r="M162" s="7"/>
      <c r="N162" s="13"/>
      <c r="O162" s="15" t="str">
        <f aca="false">IF($C162="","",IF($E162="Sell to open",1,-1)*$I162*$E$2*$H162)</f>
        <v/>
      </c>
      <c r="P162" s="15" t="str">
        <f aca="false">IF($C162="","",IF($C162="Long call",$F162+$I162,IF($C162="Covered call",$J162-$I162,$F162-$I162)))</f>
        <v/>
      </c>
      <c r="Q162" s="16" t="str">
        <f aca="false">IF($C162="","",IF($AA162="Open",$B$2,IF($M162&lt;&gt;"",$M162,$G162))-$A162)</f>
        <v/>
      </c>
      <c r="R162" s="16" t="str">
        <f aca="false">IF($C162="","",IF($AA162="Open",MAX($G162-$B$2,0),""))</f>
        <v/>
      </c>
      <c r="S162" s="15" t="str">
        <f aca="false">IF(OR($C162="",$AA162="Open"),"",IF($L162="Closed",-IF($E162="Sell to open",1,-1)*$N162*$E$2*$H162,0))</f>
        <v/>
      </c>
      <c r="T162" s="15" t="str">
        <f aca="false">IF(OR($C162="",$AA162="Open"),"",$O162+$S162-$K162)</f>
        <v/>
      </c>
      <c r="U162" s="15" t="str">
        <f aca="false">IF(OR($C162="",$AA162="Open"),"",IF(AND($C162="Covered call",$L162="Assigned"),($F162-$J162)*$E$2*$H162,0))</f>
        <v/>
      </c>
      <c r="V162" s="15" t="str">
        <f aca="false">IF(OR($C162="",$AA162="Open"),"",$T162+$U162)</f>
        <v/>
      </c>
      <c r="W162" s="15" t="str">
        <f aca="false">IF($C162="","",IF(OR($C162="Long call",$C162="Long put"),$I162*$E$2*$H162,(IF($C162="Covered call",$J162,$F162)-$I162)*$E$2*$H162))</f>
        <v/>
      </c>
      <c r="X162" s="17" t="str">
        <f aca="false">IF(OR($C162="",$AA162="Open"),"",IF($W162&gt;0,$V162/$W162,""))</f>
        <v/>
      </c>
      <c r="Y162" s="17" t="str">
        <f aca="false">IF(OR($C162="",$AA162="Open"),"",IF($W162&gt;0,$X162*365/MAX($Q162,1),""))</f>
        <v/>
      </c>
      <c r="Z162" s="18" t="str">
        <f aca="false">IF(OR($C162="",$AA162="Open"),"",IF($M162&lt;&gt;"",$M162,$G162))</f>
        <v/>
      </c>
      <c r="AA162" s="12" t="str">
        <f aca="false">IF($C162="","",IF(OR($L162="Open",$L162=""),"Open","Realized"))</f>
        <v/>
      </c>
    </row>
    <row r="163" customFormat="false" ht="15" hidden="false" customHeight="false" outlineLevel="0" collapsed="false">
      <c r="A163" s="7"/>
      <c r="B163" s="9"/>
      <c r="C163" s="32"/>
      <c r="D163" s="12" t="str">
        <f aca="false">IF($C163="","",IF(OR($C163="Long call",$C163="Covered call"),"Call","Put"))</f>
        <v/>
      </c>
      <c r="E163" s="12" t="str">
        <f aca="false">IF($C163="","",IF(OR($C163="Long call",$C163="Long put"),"Buy to open","Sell to open"))</f>
        <v/>
      </c>
      <c r="F163" s="13"/>
      <c r="G163" s="7"/>
      <c r="H163" s="14"/>
      <c r="I163" s="13"/>
      <c r="J163" s="13"/>
      <c r="K163" s="13"/>
      <c r="L163" s="32"/>
      <c r="M163" s="7"/>
      <c r="N163" s="13"/>
      <c r="O163" s="15" t="str">
        <f aca="false">IF($C163="","",IF($E163="Sell to open",1,-1)*$I163*$E$2*$H163)</f>
        <v/>
      </c>
      <c r="P163" s="15" t="str">
        <f aca="false">IF($C163="","",IF($C163="Long call",$F163+$I163,IF($C163="Covered call",$J163-$I163,$F163-$I163)))</f>
        <v/>
      </c>
      <c r="Q163" s="16" t="str">
        <f aca="false">IF($C163="","",IF($AA163="Open",$B$2,IF($M163&lt;&gt;"",$M163,$G163))-$A163)</f>
        <v/>
      </c>
      <c r="R163" s="16" t="str">
        <f aca="false">IF($C163="","",IF($AA163="Open",MAX($G163-$B$2,0),""))</f>
        <v/>
      </c>
      <c r="S163" s="15" t="str">
        <f aca="false">IF(OR($C163="",$AA163="Open"),"",IF($L163="Closed",-IF($E163="Sell to open",1,-1)*$N163*$E$2*$H163,0))</f>
        <v/>
      </c>
      <c r="T163" s="15" t="str">
        <f aca="false">IF(OR($C163="",$AA163="Open"),"",$O163+$S163-$K163)</f>
        <v/>
      </c>
      <c r="U163" s="15" t="str">
        <f aca="false">IF(OR($C163="",$AA163="Open"),"",IF(AND($C163="Covered call",$L163="Assigned"),($F163-$J163)*$E$2*$H163,0))</f>
        <v/>
      </c>
      <c r="V163" s="15" t="str">
        <f aca="false">IF(OR($C163="",$AA163="Open"),"",$T163+$U163)</f>
        <v/>
      </c>
      <c r="W163" s="15" t="str">
        <f aca="false">IF($C163="","",IF(OR($C163="Long call",$C163="Long put"),$I163*$E$2*$H163,(IF($C163="Covered call",$J163,$F163)-$I163)*$E$2*$H163))</f>
        <v/>
      </c>
      <c r="X163" s="17" t="str">
        <f aca="false">IF(OR($C163="",$AA163="Open"),"",IF($W163&gt;0,$V163/$W163,""))</f>
        <v/>
      </c>
      <c r="Y163" s="17" t="str">
        <f aca="false">IF(OR($C163="",$AA163="Open"),"",IF($W163&gt;0,$X163*365/MAX($Q163,1),""))</f>
        <v/>
      </c>
      <c r="Z163" s="18" t="str">
        <f aca="false">IF(OR($C163="",$AA163="Open"),"",IF($M163&lt;&gt;"",$M163,$G163))</f>
        <v/>
      </c>
      <c r="AA163" s="12" t="str">
        <f aca="false">IF($C163="","",IF(OR($L163="Open",$L163=""),"Open","Realized"))</f>
        <v/>
      </c>
    </row>
    <row r="164" customFormat="false" ht="15" hidden="false" customHeight="false" outlineLevel="0" collapsed="false">
      <c r="A164" s="7"/>
      <c r="B164" s="9"/>
      <c r="C164" s="32"/>
      <c r="D164" s="12" t="str">
        <f aca="false">IF($C164="","",IF(OR($C164="Long call",$C164="Covered call"),"Call","Put"))</f>
        <v/>
      </c>
      <c r="E164" s="12" t="str">
        <f aca="false">IF($C164="","",IF(OR($C164="Long call",$C164="Long put"),"Buy to open","Sell to open"))</f>
        <v/>
      </c>
      <c r="F164" s="13"/>
      <c r="G164" s="7"/>
      <c r="H164" s="14"/>
      <c r="I164" s="13"/>
      <c r="J164" s="13"/>
      <c r="K164" s="13"/>
      <c r="L164" s="32"/>
      <c r="M164" s="7"/>
      <c r="N164" s="13"/>
      <c r="O164" s="15" t="str">
        <f aca="false">IF($C164="","",IF($E164="Sell to open",1,-1)*$I164*$E$2*$H164)</f>
        <v/>
      </c>
      <c r="P164" s="15" t="str">
        <f aca="false">IF($C164="","",IF($C164="Long call",$F164+$I164,IF($C164="Covered call",$J164-$I164,$F164-$I164)))</f>
        <v/>
      </c>
      <c r="Q164" s="16" t="str">
        <f aca="false">IF($C164="","",IF($AA164="Open",$B$2,IF($M164&lt;&gt;"",$M164,$G164))-$A164)</f>
        <v/>
      </c>
      <c r="R164" s="16" t="str">
        <f aca="false">IF($C164="","",IF($AA164="Open",MAX($G164-$B$2,0),""))</f>
        <v/>
      </c>
      <c r="S164" s="15" t="str">
        <f aca="false">IF(OR($C164="",$AA164="Open"),"",IF($L164="Closed",-IF($E164="Sell to open",1,-1)*$N164*$E$2*$H164,0))</f>
        <v/>
      </c>
      <c r="T164" s="15" t="str">
        <f aca="false">IF(OR($C164="",$AA164="Open"),"",$O164+$S164-$K164)</f>
        <v/>
      </c>
      <c r="U164" s="15" t="str">
        <f aca="false">IF(OR($C164="",$AA164="Open"),"",IF(AND($C164="Covered call",$L164="Assigned"),($F164-$J164)*$E$2*$H164,0))</f>
        <v/>
      </c>
      <c r="V164" s="15" t="str">
        <f aca="false">IF(OR($C164="",$AA164="Open"),"",$T164+$U164)</f>
        <v/>
      </c>
      <c r="W164" s="15" t="str">
        <f aca="false">IF($C164="","",IF(OR($C164="Long call",$C164="Long put"),$I164*$E$2*$H164,(IF($C164="Covered call",$J164,$F164)-$I164)*$E$2*$H164))</f>
        <v/>
      </c>
      <c r="X164" s="17" t="str">
        <f aca="false">IF(OR($C164="",$AA164="Open"),"",IF($W164&gt;0,$V164/$W164,""))</f>
        <v/>
      </c>
      <c r="Y164" s="17" t="str">
        <f aca="false">IF(OR($C164="",$AA164="Open"),"",IF($W164&gt;0,$X164*365/MAX($Q164,1),""))</f>
        <v/>
      </c>
      <c r="Z164" s="18" t="str">
        <f aca="false">IF(OR($C164="",$AA164="Open"),"",IF($M164&lt;&gt;"",$M164,$G164))</f>
        <v/>
      </c>
      <c r="AA164" s="12" t="str">
        <f aca="false">IF($C164="","",IF(OR($L164="Open",$L164=""),"Open","Realized"))</f>
        <v/>
      </c>
    </row>
    <row r="165" customFormat="false" ht="15" hidden="false" customHeight="false" outlineLevel="0" collapsed="false">
      <c r="A165" s="7"/>
      <c r="B165" s="9"/>
      <c r="C165" s="32"/>
      <c r="D165" s="12" t="str">
        <f aca="false">IF($C165="","",IF(OR($C165="Long call",$C165="Covered call"),"Call","Put"))</f>
        <v/>
      </c>
      <c r="E165" s="12" t="str">
        <f aca="false">IF($C165="","",IF(OR($C165="Long call",$C165="Long put"),"Buy to open","Sell to open"))</f>
        <v/>
      </c>
      <c r="F165" s="13"/>
      <c r="G165" s="7"/>
      <c r="H165" s="14"/>
      <c r="I165" s="13"/>
      <c r="J165" s="13"/>
      <c r="K165" s="13"/>
      <c r="L165" s="32"/>
      <c r="M165" s="7"/>
      <c r="N165" s="13"/>
      <c r="O165" s="15" t="str">
        <f aca="false">IF($C165="","",IF($E165="Sell to open",1,-1)*$I165*$E$2*$H165)</f>
        <v/>
      </c>
      <c r="P165" s="15" t="str">
        <f aca="false">IF($C165="","",IF($C165="Long call",$F165+$I165,IF($C165="Covered call",$J165-$I165,$F165-$I165)))</f>
        <v/>
      </c>
      <c r="Q165" s="16" t="str">
        <f aca="false">IF($C165="","",IF($AA165="Open",$B$2,IF($M165&lt;&gt;"",$M165,$G165))-$A165)</f>
        <v/>
      </c>
      <c r="R165" s="16" t="str">
        <f aca="false">IF($C165="","",IF($AA165="Open",MAX($G165-$B$2,0),""))</f>
        <v/>
      </c>
      <c r="S165" s="15" t="str">
        <f aca="false">IF(OR($C165="",$AA165="Open"),"",IF($L165="Closed",-IF($E165="Sell to open",1,-1)*$N165*$E$2*$H165,0))</f>
        <v/>
      </c>
      <c r="T165" s="15" t="str">
        <f aca="false">IF(OR($C165="",$AA165="Open"),"",$O165+$S165-$K165)</f>
        <v/>
      </c>
      <c r="U165" s="15" t="str">
        <f aca="false">IF(OR($C165="",$AA165="Open"),"",IF(AND($C165="Covered call",$L165="Assigned"),($F165-$J165)*$E$2*$H165,0))</f>
        <v/>
      </c>
      <c r="V165" s="15" t="str">
        <f aca="false">IF(OR($C165="",$AA165="Open"),"",$T165+$U165)</f>
        <v/>
      </c>
      <c r="W165" s="15" t="str">
        <f aca="false">IF($C165="","",IF(OR($C165="Long call",$C165="Long put"),$I165*$E$2*$H165,(IF($C165="Covered call",$J165,$F165)-$I165)*$E$2*$H165))</f>
        <v/>
      </c>
      <c r="X165" s="17" t="str">
        <f aca="false">IF(OR($C165="",$AA165="Open"),"",IF($W165&gt;0,$V165/$W165,""))</f>
        <v/>
      </c>
      <c r="Y165" s="17" t="str">
        <f aca="false">IF(OR($C165="",$AA165="Open"),"",IF($W165&gt;0,$X165*365/MAX($Q165,1),""))</f>
        <v/>
      </c>
      <c r="Z165" s="18" t="str">
        <f aca="false">IF(OR($C165="",$AA165="Open"),"",IF($M165&lt;&gt;"",$M165,$G165))</f>
        <v/>
      </c>
      <c r="AA165" s="12" t="str">
        <f aca="false">IF($C165="","",IF(OR($L165="Open",$L165=""),"Open","Realized"))</f>
        <v/>
      </c>
    </row>
    <row r="166" customFormat="false" ht="15" hidden="false" customHeight="false" outlineLevel="0" collapsed="false">
      <c r="A166" s="7"/>
      <c r="B166" s="9"/>
      <c r="C166" s="32"/>
      <c r="D166" s="12" t="str">
        <f aca="false">IF($C166="","",IF(OR($C166="Long call",$C166="Covered call"),"Call","Put"))</f>
        <v/>
      </c>
      <c r="E166" s="12" t="str">
        <f aca="false">IF($C166="","",IF(OR($C166="Long call",$C166="Long put"),"Buy to open","Sell to open"))</f>
        <v/>
      </c>
      <c r="F166" s="13"/>
      <c r="G166" s="7"/>
      <c r="H166" s="14"/>
      <c r="I166" s="13"/>
      <c r="J166" s="13"/>
      <c r="K166" s="13"/>
      <c r="L166" s="32"/>
      <c r="M166" s="7"/>
      <c r="N166" s="13"/>
      <c r="O166" s="15" t="str">
        <f aca="false">IF($C166="","",IF($E166="Sell to open",1,-1)*$I166*$E$2*$H166)</f>
        <v/>
      </c>
      <c r="P166" s="15" t="str">
        <f aca="false">IF($C166="","",IF($C166="Long call",$F166+$I166,IF($C166="Covered call",$J166-$I166,$F166-$I166)))</f>
        <v/>
      </c>
      <c r="Q166" s="16" t="str">
        <f aca="false">IF($C166="","",IF($AA166="Open",$B$2,IF($M166&lt;&gt;"",$M166,$G166))-$A166)</f>
        <v/>
      </c>
      <c r="R166" s="16" t="str">
        <f aca="false">IF($C166="","",IF($AA166="Open",MAX($G166-$B$2,0),""))</f>
        <v/>
      </c>
      <c r="S166" s="15" t="str">
        <f aca="false">IF(OR($C166="",$AA166="Open"),"",IF($L166="Closed",-IF($E166="Sell to open",1,-1)*$N166*$E$2*$H166,0))</f>
        <v/>
      </c>
      <c r="T166" s="15" t="str">
        <f aca="false">IF(OR($C166="",$AA166="Open"),"",$O166+$S166-$K166)</f>
        <v/>
      </c>
      <c r="U166" s="15" t="str">
        <f aca="false">IF(OR($C166="",$AA166="Open"),"",IF(AND($C166="Covered call",$L166="Assigned"),($F166-$J166)*$E$2*$H166,0))</f>
        <v/>
      </c>
      <c r="V166" s="15" t="str">
        <f aca="false">IF(OR($C166="",$AA166="Open"),"",$T166+$U166)</f>
        <v/>
      </c>
      <c r="W166" s="15" t="str">
        <f aca="false">IF($C166="","",IF(OR($C166="Long call",$C166="Long put"),$I166*$E$2*$H166,(IF($C166="Covered call",$J166,$F166)-$I166)*$E$2*$H166))</f>
        <v/>
      </c>
      <c r="X166" s="17" t="str">
        <f aca="false">IF(OR($C166="",$AA166="Open"),"",IF($W166&gt;0,$V166/$W166,""))</f>
        <v/>
      </c>
      <c r="Y166" s="17" t="str">
        <f aca="false">IF(OR($C166="",$AA166="Open"),"",IF($W166&gt;0,$X166*365/MAX($Q166,1),""))</f>
        <v/>
      </c>
      <c r="Z166" s="18" t="str">
        <f aca="false">IF(OR($C166="",$AA166="Open"),"",IF($M166&lt;&gt;"",$M166,$G166))</f>
        <v/>
      </c>
      <c r="AA166" s="12" t="str">
        <f aca="false">IF($C166="","",IF(OR($L166="Open",$L166=""),"Open","Realized"))</f>
        <v/>
      </c>
    </row>
    <row r="167" customFormat="false" ht="15" hidden="false" customHeight="false" outlineLevel="0" collapsed="false">
      <c r="A167" s="7"/>
      <c r="B167" s="9"/>
      <c r="C167" s="32"/>
      <c r="D167" s="12" t="str">
        <f aca="false">IF($C167="","",IF(OR($C167="Long call",$C167="Covered call"),"Call","Put"))</f>
        <v/>
      </c>
      <c r="E167" s="12" t="str">
        <f aca="false">IF($C167="","",IF(OR($C167="Long call",$C167="Long put"),"Buy to open","Sell to open"))</f>
        <v/>
      </c>
      <c r="F167" s="13"/>
      <c r="G167" s="7"/>
      <c r="H167" s="14"/>
      <c r="I167" s="13"/>
      <c r="J167" s="13"/>
      <c r="K167" s="13"/>
      <c r="L167" s="32"/>
      <c r="M167" s="7"/>
      <c r="N167" s="13"/>
      <c r="O167" s="15" t="str">
        <f aca="false">IF($C167="","",IF($E167="Sell to open",1,-1)*$I167*$E$2*$H167)</f>
        <v/>
      </c>
      <c r="P167" s="15" t="str">
        <f aca="false">IF($C167="","",IF($C167="Long call",$F167+$I167,IF($C167="Covered call",$J167-$I167,$F167-$I167)))</f>
        <v/>
      </c>
      <c r="Q167" s="16" t="str">
        <f aca="false">IF($C167="","",IF($AA167="Open",$B$2,IF($M167&lt;&gt;"",$M167,$G167))-$A167)</f>
        <v/>
      </c>
      <c r="R167" s="16" t="str">
        <f aca="false">IF($C167="","",IF($AA167="Open",MAX($G167-$B$2,0),""))</f>
        <v/>
      </c>
      <c r="S167" s="15" t="str">
        <f aca="false">IF(OR($C167="",$AA167="Open"),"",IF($L167="Closed",-IF($E167="Sell to open",1,-1)*$N167*$E$2*$H167,0))</f>
        <v/>
      </c>
      <c r="T167" s="15" t="str">
        <f aca="false">IF(OR($C167="",$AA167="Open"),"",$O167+$S167-$K167)</f>
        <v/>
      </c>
      <c r="U167" s="15" t="str">
        <f aca="false">IF(OR($C167="",$AA167="Open"),"",IF(AND($C167="Covered call",$L167="Assigned"),($F167-$J167)*$E$2*$H167,0))</f>
        <v/>
      </c>
      <c r="V167" s="15" t="str">
        <f aca="false">IF(OR($C167="",$AA167="Open"),"",$T167+$U167)</f>
        <v/>
      </c>
      <c r="W167" s="15" t="str">
        <f aca="false">IF($C167="","",IF(OR($C167="Long call",$C167="Long put"),$I167*$E$2*$H167,(IF($C167="Covered call",$J167,$F167)-$I167)*$E$2*$H167))</f>
        <v/>
      </c>
      <c r="X167" s="17" t="str">
        <f aca="false">IF(OR($C167="",$AA167="Open"),"",IF($W167&gt;0,$V167/$W167,""))</f>
        <v/>
      </c>
      <c r="Y167" s="17" t="str">
        <f aca="false">IF(OR($C167="",$AA167="Open"),"",IF($W167&gt;0,$X167*365/MAX($Q167,1),""))</f>
        <v/>
      </c>
      <c r="Z167" s="18" t="str">
        <f aca="false">IF(OR($C167="",$AA167="Open"),"",IF($M167&lt;&gt;"",$M167,$G167))</f>
        <v/>
      </c>
      <c r="AA167" s="12" t="str">
        <f aca="false">IF($C167="","",IF(OR($L167="Open",$L167=""),"Open","Realized"))</f>
        <v/>
      </c>
    </row>
    <row r="168" customFormat="false" ht="15" hidden="false" customHeight="false" outlineLevel="0" collapsed="false">
      <c r="A168" s="7"/>
      <c r="B168" s="9"/>
      <c r="C168" s="32"/>
      <c r="D168" s="12" t="str">
        <f aca="false">IF($C168="","",IF(OR($C168="Long call",$C168="Covered call"),"Call","Put"))</f>
        <v/>
      </c>
      <c r="E168" s="12" t="str">
        <f aca="false">IF($C168="","",IF(OR($C168="Long call",$C168="Long put"),"Buy to open","Sell to open"))</f>
        <v/>
      </c>
      <c r="F168" s="13"/>
      <c r="G168" s="7"/>
      <c r="H168" s="14"/>
      <c r="I168" s="13"/>
      <c r="J168" s="13"/>
      <c r="K168" s="13"/>
      <c r="L168" s="32"/>
      <c r="M168" s="7"/>
      <c r="N168" s="13"/>
      <c r="O168" s="15" t="str">
        <f aca="false">IF($C168="","",IF($E168="Sell to open",1,-1)*$I168*$E$2*$H168)</f>
        <v/>
      </c>
      <c r="P168" s="15" t="str">
        <f aca="false">IF($C168="","",IF($C168="Long call",$F168+$I168,IF($C168="Covered call",$J168-$I168,$F168-$I168)))</f>
        <v/>
      </c>
      <c r="Q168" s="16" t="str">
        <f aca="false">IF($C168="","",IF($AA168="Open",$B$2,IF($M168&lt;&gt;"",$M168,$G168))-$A168)</f>
        <v/>
      </c>
      <c r="R168" s="16" t="str">
        <f aca="false">IF($C168="","",IF($AA168="Open",MAX($G168-$B$2,0),""))</f>
        <v/>
      </c>
      <c r="S168" s="15" t="str">
        <f aca="false">IF(OR($C168="",$AA168="Open"),"",IF($L168="Closed",-IF($E168="Sell to open",1,-1)*$N168*$E$2*$H168,0))</f>
        <v/>
      </c>
      <c r="T168" s="15" t="str">
        <f aca="false">IF(OR($C168="",$AA168="Open"),"",$O168+$S168-$K168)</f>
        <v/>
      </c>
      <c r="U168" s="15" t="str">
        <f aca="false">IF(OR($C168="",$AA168="Open"),"",IF(AND($C168="Covered call",$L168="Assigned"),($F168-$J168)*$E$2*$H168,0))</f>
        <v/>
      </c>
      <c r="V168" s="15" t="str">
        <f aca="false">IF(OR($C168="",$AA168="Open"),"",$T168+$U168)</f>
        <v/>
      </c>
      <c r="W168" s="15" t="str">
        <f aca="false">IF($C168="","",IF(OR($C168="Long call",$C168="Long put"),$I168*$E$2*$H168,(IF($C168="Covered call",$J168,$F168)-$I168)*$E$2*$H168))</f>
        <v/>
      </c>
      <c r="X168" s="17" t="str">
        <f aca="false">IF(OR($C168="",$AA168="Open"),"",IF($W168&gt;0,$V168/$W168,""))</f>
        <v/>
      </c>
      <c r="Y168" s="17" t="str">
        <f aca="false">IF(OR($C168="",$AA168="Open"),"",IF($W168&gt;0,$X168*365/MAX($Q168,1),""))</f>
        <v/>
      </c>
      <c r="Z168" s="18" t="str">
        <f aca="false">IF(OR($C168="",$AA168="Open"),"",IF($M168&lt;&gt;"",$M168,$G168))</f>
        <v/>
      </c>
      <c r="AA168" s="12" t="str">
        <f aca="false">IF($C168="","",IF(OR($L168="Open",$L168=""),"Open","Realized"))</f>
        <v/>
      </c>
    </row>
    <row r="169" customFormat="false" ht="15" hidden="false" customHeight="false" outlineLevel="0" collapsed="false">
      <c r="A169" s="7"/>
      <c r="B169" s="9"/>
      <c r="C169" s="32"/>
      <c r="D169" s="12" t="str">
        <f aca="false">IF($C169="","",IF(OR($C169="Long call",$C169="Covered call"),"Call","Put"))</f>
        <v/>
      </c>
      <c r="E169" s="12" t="str">
        <f aca="false">IF($C169="","",IF(OR($C169="Long call",$C169="Long put"),"Buy to open","Sell to open"))</f>
        <v/>
      </c>
      <c r="F169" s="13"/>
      <c r="G169" s="7"/>
      <c r="H169" s="14"/>
      <c r="I169" s="13"/>
      <c r="J169" s="13"/>
      <c r="K169" s="13"/>
      <c r="L169" s="32"/>
      <c r="M169" s="7"/>
      <c r="N169" s="13"/>
      <c r="O169" s="15" t="str">
        <f aca="false">IF($C169="","",IF($E169="Sell to open",1,-1)*$I169*$E$2*$H169)</f>
        <v/>
      </c>
      <c r="P169" s="15" t="str">
        <f aca="false">IF($C169="","",IF($C169="Long call",$F169+$I169,IF($C169="Covered call",$J169-$I169,$F169-$I169)))</f>
        <v/>
      </c>
      <c r="Q169" s="16" t="str">
        <f aca="false">IF($C169="","",IF($AA169="Open",$B$2,IF($M169&lt;&gt;"",$M169,$G169))-$A169)</f>
        <v/>
      </c>
      <c r="R169" s="16" t="str">
        <f aca="false">IF($C169="","",IF($AA169="Open",MAX($G169-$B$2,0),""))</f>
        <v/>
      </c>
      <c r="S169" s="15" t="str">
        <f aca="false">IF(OR($C169="",$AA169="Open"),"",IF($L169="Closed",-IF($E169="Sell to open",1,-1)*$N169*$E$2*$H169,0))</f>
        <v/>
      </c>
      <c r="T169" s="15" t="str">
        <f aca="false">IF(OR($C169="",$AA169="Open"),"",$O169+$S169-$K169)</f>
        <v/>
      </c>
      <c r="U169" s="15" t="str">
        <f aca="false">IF(OR($C169="",$AA169="Open"),"",IF(AND($C169="Covered call",$L169="Assigned"),($F169-$J169)*$E$2*$H169,0))</f>
        <v/>
      </c>
      <c r="V169" s="15" t="str">
        <f aca="false">IF(OR($C169="",$AA169="Open"),"",$T169+$U169)</f>
        <v/>
      </c>
      <c r="W169" s="15" t="str">
        <f aca="false">IF($C169="","",IF(OR($C169="Long call",$C169="Long put"),$I169*$E$2*$H169,(IF($C169="Covered call",$J169,$F169)-$I169)*$E$2*$H169))</f>
        <v/>
      </c>
      <c r="X169" s="17" t="str">
        <f aca="false">IF(OR($C169="",$AA169="Open"),"",IF($W169&gt;0,$V169/$W169,""))</f>
        <v/>
      </c>
      <c r="Y169" s="17" t="str">
        <f aca="false">IF(OR($C169="",$AA169="Open"),"",IF($W169&gt;0,$X169*365/MAX($Q169,1),""))</f>
        <v/>
      </c>
      <c r="Z169" s="18" t="str">
        <f aca="false">IF(OR($C169="",$AA169="Open"),"",IF($M169&lt;&gt;"",$M169,$G169))</f>
        <v/>
      </c>
      <c r="AA169" s="12" t="str">
        <f aca="false">IF($C169="","",IF(OR($L169="Open",$L169=""),"Open","Realized"))</f>
        <v/>
      </c>
    </row>
    <row r="170" customFormat="false" ht="15" hidden="false" customHeight="false" outlineLevel="0" collapsed="false">
      <c r="A170" s="7"/>
      <c r="B170" s="9"/>
      <c r="C170" s="32"/>
      <c r="D170" s="12" t="str">
        <f aca="false">IF($C170="","",IF(OR($C170="Long call",$C170="Covered call"),"Call","Put"))</f>
        <v/>
      </c>
      <c r="E170" s="12" t="str">
        <f aca="false">IF($C170="","",IF(OR($C170="Long call",$C170="Long put"),"Buy to open","Sell to open"))</f>
        <v/>
      </c>
      <c r="F170" s="13"/>
      <c r="G170" s="7"/>
      <c r="H170" s="14"/>
      <c r="I170" s="13"/>
      <c r="J170" s="13"/>
      <c r="K170" s="13"/>
      <c r="L170" s="32"/>
      <c r="M170" s="7"/>
      <c r="N170" s="13"/>
      <c r="O170" s="15" t="str">
        <f aca="false">IF($C170="","",IF($E170="Sell to open",1,-1)*$I170*$E$2*$H170)</f>
        <v/>
      </c>
      <c r="P170" s="15" t="str">
        <f aca="false">IF($C170="","",IF($C170="Long call",$F170+$I170,IF($C170="Covered call",$J170-$I170,$F170-$I170)))</f>
        <v/>
      </c>
      <c r="Q170" s="16" t="str">
        <f aca="false">IF($C170="","",IF($AA170="Open",$B$2,IF($M170&lt;&gt;"",$M170,$G170))-$A170)</f>
        <v/>
      </c>
      <c r="R170" s="16" t="str">
        <f aca="false">IF($C170="","",IF($AA170="Open",MAX($G170-$B$2,0),""))</f>
        <v/>
      </c>
      <c r="S170" s="15" t="str">
        <f aca="false">IF(OR($C170="",$AA170="Open"),"",IF($L170="Closed",-IF($E170="Sell to open",1,-1)*$N170*$E$2*$H170,0))</f>
        <v/>
      </c>
      <c r="T170" s="15" t="str">
        <f aca="false">IF(OR($C170="",$AA170="Open"),"",$O170+$S170-$K170)</f>
        <v/>
      </c>
      <c r="U170" s="15" t="str">
        <f aca="false">IF(OR($C170="",$AA170="Open"),"",IF(AND($C170="Covered call",$L170="Assigned"),($F170-$J170)*$E$2*$H170,0))</f>
        <v/>
      </c>
      <c r="V170" s="15" t="str">
        <f aca="false">IF(OR($C170="",$AA170="Open"),"",$T170+$U170)</f>
        <v/>
      </c>
      <c r="W170" s="15" t="str">
        <f aca="false">IF($C170="","",IF(OR($C170="Long call",$C170="Long put"),$I170*$E$2*$H170,(IF($C170="Covered call",$J170,$F170)-$I170)*$E$2*$H170))</f>
        <v/>
      </c>
      <c r="X170" s="17" t="str">
        <f aca="false">IF(OR($C170="",$AA170="Open"),"",IF($W170&gt;0,$V170/$W170,""))</f>
        <v/>
      </c>
      <c r="Y170" s="17" t="str">
        <f aca="false">IF(OR($C170="",$AA170="Open"),"",IF($W170&gt;0,$X170*365/MAX($Q170,1),""))</f>
        <v/>
      </c>
      <c r="Z170" s="18" t="str">
        <f aca="false">IF(OR($C170="",$AA170="Open"),"",IF($M170&lt;&gt;"",$M170,$G170))</f>
        <v/>
      </c>
      <c r="AA170" s="12" t="str">
        <f aca="false">IF($C170="","",IF(OR($L170="Open",$L170=""),"Open","Realized"))</f>
        <v/>
      </c>
    </row>
    <row r="171" customFormat="false" ht="15" hidden="false" customHeight="false" outlineLevel="0" collapsed="false">
      <c r="A171" s="7"/>
      <c r="B171" s="9"/>
      <c r="C171" s="32"/>
      <c r="D171" s="12" t="str">
        <f aca="false">IF($C171="","",IF(OR($C171="Long call",$C171="Covered call"),"Call","Put"))</f>
        <v/>
      </c>
      <c r="E171" s="12" t="str">
        <f aca="false">IF($C171="","",IF(OR($C171="Long call",$C171="Long put"),"Buy to open","Sell to open"))</f>
        <v/>
      </c>
      <c r="F171" s="13"/>
      <c r="G171" s="7"/>
      <c r="H171" s="14"/>
      <c r="I171" s="13"/>
      <c r="J171" s="13"/>
      <c r="K171" s="13"/>
      <c r="L171" s="32"/>
      <c r="M171" s="7"/>
      <c r="N171" s="13"/>
      <c r="O171" s="15" t="str">
        <f aca="false">IF($C171="","",IF($E171="Sell to open",1,-1)*$I171*$E$2*$H171)</f>
        <v/>
      </c>
      <c r="P171" s="15" t="str">
        <f aca="false">IF($C171="","",IF($C171="Long call",$F171+$I171,IF($C171="Covered call",$J171-$I171,$F171-$I171)))</f>
        <v/>
      </c>
      <c r="Q171" s="16" t="str">
        <f aca="false">IF($C171="","",IF($AA171="Open",$B$2,IF($M171&lt;&gt;"",$M171,$G171))-$A171)</f>
        <v/>
      </c>
      <c r="R171" s="16" t="str">
        <f aca="false">IF($C171="","",IF($AA171="Open",MAX($G171-$B$2,0),""))</f>
        <v/>
      </c>
      <c r="S171" s="15" t="str">
        <f aca="false">IF(OR($C171="",$AA171="Open"),"",IF($L171="Closed",-IF($E171="Sell to open",1,-1)*$N171*$E$2*$H171,0))</f>
        <v/>
      </c>
      <c r="T171" s="15" t="str">
        <f aca="false">IF(OR($C171="",$AA171="Open"),"",$O171+$S171-$K171)</f>
        <v/>
      </c>
      <c r="U171" s="15" t="str">
        <f aca="false">IF(OR($C171="",$AA171="Open"),"",IF(AND($C171="Covered call",$L171="Assigned"),($F171-$J171)*$E$2*$H171,0))</f>
        <v/>
      </c>
      <c r="V171" s="15" t="str">
        <f aca="false">IF(OR($C171="",$AA171="Open"),"",$T171+$U171)</f>
        <v/>
      </c>
      <c r="W171" s="15" t="str">
        <f aca="false">IF($C171="","",IF(OR($C171="Long call",$C171="Long put"),$I171*$E$2*$H171,(IF($C171="Covered call",$J171,$F171)-$I171)*$E$2*$H171))</f>
        <v/>
      </c>
      <c r="X171" s="17" t="str">
        <f aca="false">IF(OR($C171="",$AA171="Open"),"",IF($W171&gt;0,$V171/$W171,""))</f>
        <v/>
      </c>
      <c r="Y171" s="17" t="str">
        <f aca="false">IF(OR($C171="",$AA171="Open"),"",IF($W171&gt;0,$X171*365/MAX($Q171,1),""))</f>
        <v/>
      </c>
      <c r="Z171" s="18" t="str">
        <f aca="false">IF(OR($C171="",$AA171="Open"),"",IF($M171&lt;&gt;"",$M171,$G171))</f>
        <v/>
      </c>
      <c r="AA171" s="12" t="str">
        <f aca="false">IF($C171="","",IF(OR($L171="Open",$L171=""),"Open","Realized"))</f>
        <v/>
      </c>
    </row>
    <row r="172" customFormat="false" ht="15" hidden="false" customHeight="false" outlineLevel="0" collapsed="false">
      <c r="A172" s="7"/>
      <c r="B172" s="9"/>
      <c r="C172" s="32"/>
      <c r="D172" s="12" t="str">
        <f aca="false">IF($C172="","",IF(OR($C172="Long call",$C172="Covered call"),"Call","Put"))</f>
        <v/>
      </c>
      <c r="E172" s="12" t="str">
        <f aca="false">IF($C172="","",IF(OR($C172="Long call",$C172="Long put"),"Buy to open","Sell to open"))</f>
        <v/>
      </c>
      <c r="F172" s="13"/>
      <c r="G172" s="7"/>
      <c r="H172" s="14"/>
      <c r="I172" s="13"/>
      <c r="J172" s="13"/>
      <c r="K172" s="13"/>
      <c r="L172" s="32"/>
      <c r="M172" s="7"/>
      <c r="N172" s="13"/>
      <c r="O172" s="15" t="str">
        <f aca="false">IF($C172="","",IF($E172="Sell to open",1,-1)*$I172*$E$2*$H172)</f>
        <v/>
      </c>
      <c r="P172" s="15" t="str">
        <f aca="false">IF($C172="","",IF($C172="Long call",$F172+$I172,IF($C172="Covered call",$J172-$I172,$F172-$I172)))</f>
        <v/>
      </c>
      <c r="Q172" s="16" t="str">
        <f aca="false">IF($C172="","",IF($AA172="Open",$B$2,IF($M172&lt;&gt;"",$M172,$G172))-$A172)</f>
        <v/>
      </c>
      <c r="R172" s="16" t="str">
        <f aca="false">IF($C172="","",IF($AA172="Open",MAX($G172-$B$2,0),""))</f>
        <v/>
      </c>
      <c r="S172" s="15" t="str">
        <f aca="false">IF(OR($C172="",$AA172="Open"),"",IF($L172="Closed",-IF($E172="Sell to open",1,-1)*$N172*$E$2*$H172,0))</f>
        <v/>
      </c>
      <c r="T172" s="15" t="str">
        <f aca="false">IF(OR($C172="",$AA172="Open"),"",$O172+$S172-$K172)</f>
        <v/>
      </c>
      <c r="U172" s="15" t="str">
        <f aca="false">IF(OR($C172="",$AA172="Open"),"",IF(AND($C172="Covered call",$L172="Assigned"),($F172-$J172)*$E$2*$H172,0))</f>
        <v/>
      </c>
      <c r="V172" s="15" t="str">
        <f aca="false">IF(OR($C172="",$AA172="Open"),"",$T172+$U172)</f>
        <v/>
      </c>
      <c r="W172" s="15" t="str">
        <f aca="false">IF($C172="","",IF(OR($C172="Long call",$C172="Long put"),$I172*$E$2*$H172,(IF($C172="Covered call",$J172,$F172)-$I172)*$E$2*$H172))</f>
        <v/>
      </c>
      <c r="X172" s="17" t="str">
        <f aca="false">IF(OR($C172="",$AA172="Open"),"",IF($W172&gt;0,$V172/$W172,""))</f>
        <v/>
      </c>
      <c r="Y172" s="17" t="str">
        <f aca="false">IF(OR($C172="",$AA172="Open"),"",IF($W172&gt;0,$X172*365/MAX($Q172,1),""))</f>
        <v/>
      </c>
      <c r="Z172" s="18" t="str">
        <f aca="false">IF(OR($C172="",$AA172="Open"),"",IF($M172&lt;&gt;"",$M172,$G172))</f>
        <v/>
      </c>
      <c r="AA172" s="12" t="str">
        <f aca="false">IF($C172="","",IF(OR($L172="Open",$L172=""),"Open","Realized"))</f>
        <v/>
      </c>
    </row>
    <row r="173" customFormat="false" ht="15" hidden="false" customHeight="false" outlineLevel="0" collapsed="false">
      <c r="A173" s="7"/>
      <c r="B173" s="9"/>
      <c r="C173" s="32"/>
      <c r="D173" s="12" t="str">
        <f aca="false">IF($C173="","",IF(OR($C173="Long call",$C173="Covered call"),"Call","Put"))</f>
        <v/>
      </c>
      <c r="E173" s="12" t="str">
        <f aca="false">IF($C173="","",IF(OR($C173="Long call",$C173="Long put"),"Buy to open","Sell to open"))</f>
        <v/>
      </c>
      <c r="F173" s="13"/>
      <c r="G173" s="7"/>
      <c r="H173" s="14"/>
      <c r="I173" s="13"/>
      <c r="J173" s="13"/>
      <c r="K173" s="13"/>
      <c r="L173" s="32"/>
      <c r="M173" s="7"/>
      <c r="N173" s="13"/>
      <c r="O173" s="15" t="str">
        <f aca="false">IF($C173="","",IF($E173="Sell to open",1,-1)*$I173*$E$2*$H173)</f>
        <v/>
      </c>
      <c r="P173" s="15" t="str">
        <f aca="false">IF($C173="","",IF($C173="Long call",$F173+$I173,IF($C173="Covered call",$J173-$I173,$F173-$I173)))</f>
        <v/>
      </c>
      <c r="Q173" s="16" t="str">
        <f aca="false">IF($C173="","",IF($AA173="Open",$B$2,IF($M173&lt;&gt;"",$M173,$G173))-$A173)</f>
        <v/>
      </c>
      <c r="R173" s="16" t="str">
        <f aca="false">IF($C173="","",IF($AA173="Open",MAX($G173-$B$2,0),""))</f>
        <v/>
      </c>
      <c r="S173" s="15" t="str">
        <f aca="false">IF(OR($C173="",$AA173="Open"),"",IF($L173="Closed",-IF($E173="Sell to open",1,-1)*$N173*$E$2*$H173,0))</f>
        <v/>
      </c>
      <c r="T173" s="15" t="str">
        <f aca="false">IF(OR($C173="",$AA173="Open"),"",$O173+$S173-$K173)</f>
        <v/>
      </c>
      <c r="U173" s="15" t="str">
        <f aca="false">IF(OR($C173="",$AA173="Open"),"",IF(AND($C173="Covered call",$L173="Assigned"),($F173-$J173)*$E$2*$H173,0))</f>
        <v/>
      </c>
      <c r="V173" s="15" t="str">
        <f aca="false">IF(OR($C173="",$AA173="Open"),"",$T173+$U173)</f>
        <v/>
      </c>
      <c r="W173" s="15" t="str">
        <f aca="false">IF($C173="","",IF(OR($C173="Long call",$C173="Long put"),$I173*$E$2*$H173,(IF($C173="Covered call",$J173,$F173)-$I173)*$E$2*$H173))</f>
        <v/>
      </c>
      <c r="X173" s="17" t="str">
        <f aca="false">IF(OR($C173="",$AA173="Open"),"",IF($W173&gt;0,$V173/$W173,""))</f>
        <v/>
      </c>
      <c r="Y173" s="17" t="str">
        <f aca="false">IF(OR($C173="",$AA173="Open"),"",IF($W173&gt;0,$X173*365/MAX($Q173,1),""))</f>
        <v/>
      </c>
      <c r="Z173" s="18" t="str">
        <f aca="false">IF(OR($C173="",$AA173="Open"),"",IF($M173&lt;&gt;"",$M173,$G173))</f>
        <v/>
      </c>
      <c r="AA173" s="12" t="str">
        <f aca="false">IF($C173="","",IF(OR($L173="Open",$L173=""),"Open","Realized"))</f>
        <v/>
      </c>
    </row>
    <row r="174" customFormat="false" ht="15" hidden="false" customHeight="false" outlineLevel="0" collapsed="false">
      <c r="A174" s="7"/>
      <c r="B174" s="9"/>
      <c r="C174" s="32"/>
      <c r="D174" s="12" t="str">
        <f aca="false">IF($C174="","",IF(OR($C174="Long call",$C174="Covered call"),"Call","Put"))</f>
        <v/>
      </c>
      <c r="E174" s="12" t="str">
        <f aca="false">IF($C174="","",IF(OR($C174="Long call",$C174="Long put"),"Buy to open","Sell to open"))</f>
        <v/>
      </c>
      <c r="F174" s="13"/>
      <c r="G174" s="7"/>
      <c r="H174" s="14"/>
      <c r="I174" s="13"/>
      <c r="J174" s="13"/>
      <c r="K174" s="13"/>
      <c r="L174" s="32"/>
      <c r="M174" s="7"/>
      <c r="N174" s="13"/>
      <c r="O174" s="15" t="str">
        <f aca="false">IF($C174="","",IF($E174="Sell to open",1,-1)*$I174*$E$2*$H174)</f>
        <v/>
      </c>
      <c r="P174" s="15" t="str">
        <f aca="false">IF($C174="","",IF($C174="Long call",$F174+$I174,IF($C174="Covered call",$J174-$I174,$F174-$I174)))</f>
        <v/>
      </c>
      <c r="Q174" s="16" t="str">
        <f aca="false">IF($C174="","",IF($AA174="Open",$B$2,IF($M174&lt;&gt;"",$M174,$G174))-$A174)</f>
        <v/>
      </c>
      <c r="R174" s="16" t="str">
        <f aca="false">IF($C174="","",IF($AA174="Open",MAX($G174-$B$2,0),""))</f>
        <v/>
      </c>
      <c r="S174" s="15" t="str">
        <f aca="false">IF(OR($C174="",$AA174="Open"),"",IF($L174="Closed",-IF($E174="Sell to open",1,-1)*$N174*$E$2*$H174,0))</f>
        <v/>
      </c>
      <c r="T174" s="15" t="str">
        <f aca="false">IF(OR($C174="",$AA174="Open"),"",$O174+$S174-$K174)</f>
        <v/>
      </c>
      <c r="U174" s="15" t="str">
        <f aca="false">IF(OR($C174="",$AA174="Open"),"",IF(AND($C174="Covered call",$L174="Assigned"),($F174-$J174)*$E$2*$H174,0))</f>
        <v/>
      </c>
      <c r="V174" s="15" t="str">
        <f aca="false">IF(OR($C174="",$AA174="Open"),"",$T174+$U174)</f>
        <v/>
      </c>
      <c r="W174" s="15" t="str">
        <f aca="false">IF($C174="","",IF(OR($C174="Long call",$C174="Long put"),$I174*$E$2*$H174,(IF($C174="Covered call",$J174,$F174)-$I174)*$E$2*$H174))</f>
        <v/>
      </c>
      <c r="X174" s="17" t="str">
        <f aca="false">IF(OR($C174="",$AA174="Open"),"",IF($W174&gt;0,$V174/$W174,""))</f>
        <v/>
      </c>
      <c r="Y174" s="17" t="str">
        <f aca="false">IF(OR($C174="",$AA174="Open"),"",IF($W174&gt;0,$X174*365/MAX($Q174,1),""))</f>
        <v/>
      </c>
      <c r="Z174" s="18" t="str">
        <f aca="false">IF(OR($C174="",$AA174="Open"),"",IF($M174&lt;&gt;"",$M174,$G174))</f>
        <v/>
      </c>
      <c r="AA174" s="12" t="str">
        <f aca="false">IF($C174="","",IF(OR($L174="Open",$L174=""),"Open","Realized"))</f>
        <v/>
      </c>
    </row>
    <row r="175" customFormat="false" ht="15" hidden="false" customHeight="false" outlineLevel="0" collapsed="false">
      <c r="A175" s="7"/>
      <c r="B175" s="9"/>
      <c r="C175" s="32"/>
      <c r="D175" s="12" t="str">
        <f aca="false">IF($C175="","",IF(OR($C175="Long call",$C175="Covered call"),"Call","Put"))</f>
        <v/>
      </c>
      <c r="E175" s="12" t="str">
        <f aca="false">IF($C175="","",IF(OR($C175="Long call",$C175="Long put"),"Buy to open","Sell to open"))</f>
        <v/>
      </c>
      <c r="F175" s="13"/>
      <c r="G175" s="7"/>
      <c r="H175" s="14"/>
      <c r="I175" s="13"/>
      <c r="J175" s="13"/>
      <c r="K175" s="13"/>
      <c r="L175" s="32"/>
      <c r="M175" s="7"/>
      <c r="N175" s="13"/>
      <c r="O175" s="15" t="str">
        <f aca="false">IF($C175="","",IF($E175="Sell to open",1,-1)*$I175*$E$2*$H175)</f>
        <v/>
      </c>
      <c r="P175" s="15" t="str">
        <f aca="false">IF($C175="","",IF($C175="Long call",$F175+$I175,IF($C175="Covered call",$J175-$I175,$F175-$I175)))</f>
        <v/>
      </c>
      <c r="Q175" s="16" t="str">
        <f aca="false">IF($C175="","",IF($AA175="Open",$B$2,IF($M175&lt;&gt;"",$M175,$G175))-$A175)</f>
        <v/>
      </c>
      <c r="R175" s="16" t="str">
        <f aca="false">IF($C175="","",IF($AA175="Open",MAX($G175-$B$2,0),""))</f>
        <v/>
      </c>
      <c r="S175" s="15" t="str">
        <f aca="false">IF(OR($C175="",$AA175="Open"),"",IF($L175="Closed",-IF($E175="Sell to open",1,-1)*$N175*$E$2*$H175,0))</f>
        <v/>
      </c>
      <c r="T175" s="15" t="str">
        <f aca="false">IF(OR($C175="",$AA175="Open"),"",$O175+$S175-$K175)</f>
        <v/>
      </c>
      <c r="U175" s="15" t="str">
        <f aca="false">IF(OR($C175="",$AA175="Open"),"",IF(AND($C175="Covered call",$L175="Assigned"),($F175-$J175)*$E$2*$H175,0))</f>
        <v/>
      </c>
      <c r="V175" s="15" t="str">
        <f aca="false">IF(OR($C175="",$AA175="Open"),"",$T175+$U175)</f>
        <v/>
      </c>
      <c r="W175" s="15" t="str">
        <f aca="false">IF($C175="","",IF(OR($C175="Long call",$C175="Long put"),$I175*$E$2*$H175,(IF($C175="Covered call",$J175,$F175)-$I175)*$E$2*$H175))</f>
        <v/>
      </c>
      <c r="X175" s="17" t="str">
        <f aca="false">IF(OR($C175="",$AA175="Open"),"",IF($W175&gt;0,$V175/$W175,""))</f>
        <v/>
      </c>
      <c r="Y175" s="17" t="str">
        <f aca="false">IF(OR($C175="",$AA175="Open"),"",IF($W175&gt;0,$X175*365/MAX($Q175,1),""))</f>
        <v/>
      </c>
      <c r="Z175" s="18" t="str">
        <f aca="false">IF(OR($C175="",$AA175="Open"),"",IF($M175&lt;&gt;"",$M175,$G175))</f>
        <v/>
      </c>
      <c r="AA175" s="12" t="str">
        <f aca="false">IF($C175="","",IF(OR($L175="Open",$L175=""),"Open","Realized"))</f>
        <v/>
      </c>
    </row>
    <row r="176" customFormat="false" ht="15" hidden="false" customHeight="false" outlineLevel="0" collapsed="false">
      <c r="A176" s="7"/>
      <c r="B176" s="9"/>
      <c r="C176" s="32"/>
      <c r="D176" s="12" t="str">
        <f aca="false">IF($C176="","",IF(OR($C176="Long call",$C176="Covered call"),"Call","Put"))</f>
        <v/>
      </c>
      <c r="E176" s="12" t="str">
        <f aca="false">IF($C176="","",IF(OR($C176="Long call",$C176="Long put"),"Buy to open","Sell to open"))</f>
        <v/>
      </c>
      <c r="F176" s="13"/>
      <c r="G176" s="7"/>
      <c r="H176" s="14"/>
      <c r="I176" s="13"/>
      <c r="J176" s="13"/>
      <c r="K176" s="13"/>
      <c r="L176" s="32"/>
      <c r="M176" s="7"/>
      <c r="N176" s="13"/>
      <c r="O176" s="15" t="str">
        <f aca="false">IF($C176="","",IF($E176="Sell to open",1,-1)*$I176*$E$2*$H176)</f>
        <v/>
      </c>
      <c r="P176" s="15" t="str">
        <f aca="false">IF($C176="","",IF($C176="Long call",$F176+$I176,IF($C176="Covered call",$J176-$I176,$F176-$I176)))</f>
        <v/>
      </c>
      <c r="Q176" s="16" t="str">
        <f aca="false">IF($C176="","",IF($AA176="Open",$B$2,IF($M176&lt;&gt;"",$M176,$G176))-$A176)</f>
        <v/>
      </c>
      <c r="R176" s="16" t="str">
        <f aca="false">IF($C176="","",IF($AA176="Open",MAX($G176-$B$2,0),""))</f>
        <v/>
      </c>
      <c r="S176" s="15" t="str">
        <f aca="false">IF(OR($C176="",$AA176="Open"),"",IF($L176="Closed",-IF($E176="Sell to open",1,-1)*$N176*$E$2*$H176,0))</f>
        <v/>
      </c>
      <c r="T176" s="15" t="str">
        <f aca="false">IF(OR($C176="",$AA176="Open"),"",$O176+$S176-$K176)</f>
        <v/>
      </c>
      <c r="U176" s="15" t="str">
        <f aca="false">IF(OR($C176="",$AA176="Open"),"",IF(AND($C176="Covered call",$L176="Assigned"),($F176-$J176)*$E$2*$H176,0))</f>
        <v/>
      </c>
      <c r="V176" s="15" t="str">
        <f aca="false">IF(OR($C176="",$AA176="Open"),"",$T176+$U176)</f>
        <v/>
      </c>
      <c r="W176" s="15" t="str">
        <f aca="false">IF($C176="","",IF(OR($C176="Long call",$C176="Long put"),$I176*$E$2*$H176,(IF($C176="Covered call",$J176,$F176)-$I176)*$E$2*$H176))</f>
        <v/>
      </c>
      <c r="X176" s="17" t="str">
        <f aca="false">IF(OR($C176="",$AA176="Open"),"",IF($W176&gt;0,$V176/$W176,""))</f>
        <v/>
      </c>
      <c r="Y176" s="17" t="str">
        <f aca="false">IF(OR($C176="",$AA176="Open"),"",IF($W176&gt;0,$X176*365/MAX($Q176,1),""))</f>
        <v/>
      </c>
      <c r="Z176" s="18" t="str">
        <f aca="false">IF(OR($C176="",$AA176="Open"),"",IF($M176&lt;&gt;"",$M176,$G176))</f>
        <v/>
      </c>
      <c r="AA176" s="12" t="str">
        <f aca="false">IF($C176="","",IF(OR($L176="Open",$L176=""),"Open","Realized"))</f>
        <v/>
      </c>
    </row>
    <row r="177" customFormat="false" ht="15" hidden="false" customHeight="false" outlineLevel="0" collapsed="false">
      <c r="A177" s="7"/>
      <c r="B177" s="9"/>
      <c r="C177" s="32"/>
      <c r="D177" s="12" t="str">
        <f aca="false">IF($C177="","",IF(OR($C177="Long call",$C177="Covered call"),"Call","Put"))</f>
        <v/>
      </c>
      <c r="E177" s="12" t="str">
        <f aca="false">IF($C177="","",IF(OR($C177="Long call",$C177="Long put"),"Buy to open","Sell to open"))</f>
        <v/>
      </c>
      <c r="F177" s="13"/>
      <c r="G177" s="7"/>
      <c r="H177" s="14"/>
      <c r="I177" s="13"/>
      <c r="J177" s="13"/>
      <c r="K177" s="13"/>
      <c r="L177" s="32"/>
      <c r="M177" s="7"/>
      <c r="N177" s="13"/>
      <c r="O177" s="15" t="str">
        <f aca="false">IF($C177="","",IF($E177="Sell to open",1,-1)*$I177*$E$2*$H177)</f>
        <v/>
      </c>
      <c r="P177" s="15" t="str">
        <f aca="false">IF($C177="","",IF($C177="Long call",$F177+$I177,IF($C177="Covered call",$J177-$I177,$F177-$I177)))</f>
        <v/>
      </c>
      <c r="Q177" s="16" t="str">
        <f aca="false">IF($C177="","",IF($AA177="Open",$B$2,IF($M177&lt;&gt;"",$M177,$G177))-$A177)</f>
        <v/>
      </c>
      <c r="R177" s="16" t="str">
        <f aca="false">IF($C177="","",IF($AA177="Open",MAX($G177-$B$2,0),""))</f>
        <v/>
      </c>
      <c r="S177" s="15" t="str">
        <f aca="false">IF(OR($C177="",$AA177="Open"),"",IF($L177="Closed",-IF($E177="Sell to open",1,-1)*$N177*$E$2*$H177,0))</f>
        <v/>
      </c>
      <c r="T177" s="15" t="str">
        <f aca="false">IF(OR($C177="",$AA177="Open"),"",$O177+$S177-$K177)</f>
        <v/>
      </c>
      <c r="U177" s="15" t="str">
        <f aca="false">IF(OR($C177="",$AA177="Open"),"",IF(AND($C177="Covered call",$L177="Assigned"),($F177-$J177)*$E$2*$H177,0))</f>
        <v/>
      </c>
      <c r="V177" s="15" t="str">
        <f aca="false">IF(OR($C177="",$AA177="Open"),"",$T177+$U177)</f>
        <v/>
      </c>
      <c r="W177" s="15" t="str">
        <f aca="false">IF($C177="","",IF(OR($C177="Long call",$C177="Long put"),$I177*$E$2*$H177,(IF($C177="Covered call",$J177,$F177)-$I177)*$E$2*$H177))</f>
        <v/>
      </c>
      <c r="X177" s="17" t="str">
        <f aca="false">IF(OR($C177="",$AA177="Open"),"",IF($W177&gt;0,$V177/$W177,""))</f>
        <v/>
      </c>
      <c r="Y177" s="17" t="str">
        <f aca="false">IF(OR($C177="",$AA177="Open"),"",IF($W177&gt;0,$X177*365/MAX($Q177,1),""))</f>
        <v/>
      </c>
      <c r="Z177" s="18" t="str">
        <f aca="false">IF(OR($C177="",$AA177="Open"),"",IF($M177&lt;&gt;"",$M177,$G177))</f>
        <v/>
      </c>
      <c r="AA177" s="12" t="str">
        <f aca="false">IF($C177="","",IF(OR($L177="Open",$L177=""),"Open","Realized"))</f>
        <v/>
      </c>
    </row>
    <row r="178" customFormat="false" ht="15" hidden="false" customHeight="false" outlineLevel="0" collapsed="false">
      <c r="A178" s="7"/>
      <c r="B178" s="9"/>
      <c r="C178" s="32"/>
      <c r="D178" s="12" t="str">
        <f aca="false">IF($C178="","",IF(OR($C178="Long call",$C178="Covered call"),"Call","Put"))</f>
        <v/>
      </c>
      <c r="E178" s="12" t="str">
        <f aca="false">IF($C178="","",IF(OR($C178="Long call",$C178="Long put"),"Buy to open","Sell to open"))</f>
        <v/>
      </c>
      <c r="F178" s="13"/>
      <c r="G178" s="7"/>
      <c r="H178" s="14"/>
      <c r="I178" s="13"/>
      <c r="J178" s="13"/>
      <c r="K178" s="13"/>
      <c r="L178" s="32"/>
      <c r="M178" s="7"/>
      <c r="N178" s="13"/>
      <c r="O178" s="15" t="str">
        <f aca="false">IF($C178="","",IF($E178="Sell to open",1,-1)*$I178*$E$2*$H178)</f>
        <v/>
      </c>
      <c r="P178" s="15" t="str">
        <f aca="false">IF($C178="","",IF($C178="Long call",$F178+$I178,IF($C178="Covered call",$J178-$I178,$F178-$I178)))</f>
        <v/>
      </c>
      <c r="Q178" s="16" t="str">
        <f aca="false">IF($C178="","",IF($AA178="Open",$B$2,IF($M178&lt;&gt;"",$M178,$G178))-$A178)</f>
        <v/>
      </c>
      <c r="R178" s="16" t="str">
        <f aca="false">IF($C178="","",IF($AA178="Open",MAX($G178-$B$2,0),""))</f>
        <v/>
      </c>
      <c r="S178" s="15" t="str">
        <f aca="false">IF(OR($C178="",$AA178="Open"),"",IF($L178="Closed",-IF($E178="Sell to open",1,-1)*$N178*$E$2*$H178,0))</f>
        <v/>
      </c>
      <c r="T178" s="15" t="str">
        <f aca="false">IF(OR($C178="",$AA178="Open"),"",$O178+$S178-$K178)</f>
        <v/>
      </c>
      <c r="U178" s="15" t="str">
        <f aca="false">IF(OR($C178="",$AA178="Open"),"",IF(AND($C178="Covered call",$L178="Assigned"),($F178-$J178)*$E$2*$H178,0))</f>
        <v/>
      </c>
      <c r="V178" s="15" t="str">
        <f aca="false">IF(OR($C178="",$AA178="Open"),"",$T178+$U178)</f>
        <v/>
      </c>
      <c r="W178" s="15" t="str">
        <f aca="false">IF($C178="","",IF(OR($C178="Long call",$C178="Long put"),$I178*$E$2*$H178,(IF($C178="Covered call",$J178,$F178)-$I178)*$E$2*$H178))</f>
        <v/>
      </c>
      <c r="X178" s="17" t="str">
        <f aca="false">IF(OR($C178="",$AA178="Open"),"",IF($W178&gt;0,$V178/$W178,""))</f>
        <v/>
      </c>
      <c r="Y178" s="17" t="str">
        <f aca="false">IF(OR($C178="",$AA178="Open"),"",IF($W178&gt;0,$X178*365/MAX($Q178,1),""))</f>
        <v/>
      </c>
      <c r="Z178" s="18" t="str">
        <f aca="false">IF(OR($C178="",$AA178="Open"),"",IF($M178&lt;&gt;"",$M178,$G178))</f>
        <v/>
      </c>
      <c r="AA178" s="12" t="str">
        <f aca="false">IF($C178="","",IF(OR($L178="Open",$L178=""),"Open","Realized"))</f>
        <v/>
      </c>
    </row>
    <row r="179" customFormat="false" ht="15" hidden="false" customHeight="false" outlineLevel="0" collapsed="false">
      <c r="A179" s="7"/>
      <c r="B179" s="9"/>
      <c r="C179" s="32"/>
      <c r="D179" s="12" t="str">
        <f aca="false">IF($C179="","",IF(OR($C179="Long call",$C179="Covered call"),"Call","Put"))</f>
        <v/>
      </c>
      <c r="E179" s="12" t="str">
        <f aca="false">IF($C179="","",IF(OR($C179="Long call",$C179="Long put"),"Buy to open","Sell to open"))</f>
        <v/>
      </c>
      <c r="F179" s="13"/>
      <c r="G179" s="7"/>
      <c r="H179" s="14"/>
      <c r="I179" s="13"/>
      <c r="J179" s="13"/>
      <c r="K179" s="13"/>
      <c r="L179" s="32"/>
      <c r="M179" s="7"/>
      <c r="N179" s="13"/>
      <c r="O179" s="15" t="str">
        <f aca="false">IF($C179="","",IF($E179="Sell to open",1,-1)*$I179*$E$2*$H179)</f>
        <v/>
      </c>
      <c r="P179" s="15" t="str">
        <f aca="false">IF($C179="","",IF($C179="Long call",$F179+$I179,IF($C179="Covered call",$J179-$I179,$F179-$I179)))</f>
        <v/>
      </c>
      <c r="Q179" s="16" t="str">
        <f aca="false">IF($C179="","",IF($AA179="Open",$B$2,IF($M179&lt;&gt;"",$M179,$G179))-$A179)</f>
        <v/>
      </c>
      <c r="R179" s="16" t="str">
        <f aca="false">IF($C179="","",IF($AA179="Open",MAX($G179-$B$2,0),""))</f>
        <v/>
      </c>
      <c r="S179" s="15" t="str">
        <f aca="false">IF(OR($C179="",$AA179="Open"),"",IF($L179="Closed",-IF($E179="Sell to open",1,-1)*$N179*$E$2*$H179,0))</f>
        <v/>
      </c>
      <c r="T179" s="15" t="str">
        <f aca="false">IF(OR($C179="",$AA179="Open"),"",$O179+$S179-$K179)</f>
        <v/>
      </c>
      <c r="U179" s="15" t="str">
        <f aca="false">IF(OR($C179="",$AA179="Open"),"",IF(AND($C179="Covered call",$L179="Assigned"),($F179-$J179)*$E$2*$H179,0))</f>
        <v/>
      </c>
      <c r="V179" s="15" t="str">
        <f aca="false">IF(OR($C179="",$AA179="Open"),"",$T179+$U179)</f>
        <v/>
      </c>
      <c r="W179" s="15" t="str">
        <f aca="false">IF($C179="","",IF(OR($C179="Long call",$C179="Long put"),$I179*$E$2*$H179,(IF($C179="Covered call",$J179,$F179)-$I179)*$E$2*$H179))</f>
        <v/>
      </c>
      <c r="X179" s="17" t="str">
        <f aca="false">IF(OR($C179="",$AA179="Open"),"",IF($W179&gt;0,$V179/$W179,""))</f>
        <v/>
      </c>
      <c r="Y179" s="17" t="str">
        <f aca="false">IF(OR($C179="",$AA179="Open"),"",IF($W179&gt;0,$X179*365/MAX($Q179,1),""))</f>
        <v/>
      </c>
      <c r="Z179" s="18" t="str">
        <f aca="false">IF(OR($C179="",$AA179="Open"),"",IF($M179&lt;&gt;"",$M179,$G179))</f>
        <v/>
      </c>
      <c r="AA179" s="12" t="str">
        <f aca="false">IF($C179="","",IF(OR($L179="Open",$L179=""),"Open","Realized"))</f>
        <v/>
      </c>
    </row>
    <row r="180" customFormat="false" ht="15" hidden="false" customHeight="false" outlineLevel="0" collapsed="false">
      <c r="A180" s="7"/>
      <c r="B180" s="9"/>
      <c r="C180" s="32"/>
      <c r="D180" s="12" t="str">
        <f aca="false">IF($C180="","",IF(OR($C180="Long call",$C180="Covered call"),"Call","Put"))</f>
        <v/>
      </c>
      <c r="E180" s="12" t="str">
        <f aca="false">IF($C180="","",IF(OR($C180="Long call",$C180="Long put"),"Buy to open","Sell to open"))</f>
        <v/>
      </c>
      <c r="F180" s="13"/>
      <c r="G180" s="7"/>
      <c r="H180" s="14"/>
      <c r="I180" s="13"/>
      <c r="J180" s="13"/>
      <c r="K180" s="13"/>
      <c r="L180" s="32"/>
      <c r="M180" s="7"/>
      <c r="N180" s="13"/>
      <c r="O180" s="15" t="str">
        <f aca="false">IF($C180="","",IF($E180="Sell to open",1,-1)*$I180*$E$2*$H180)</f>
        <v/>
      </c>
      <c r="P180" s="15" t="str">
        <f aca="false">IF($C180="","",IF($C180="Long call",$F180+$I180,IF($C180="Covered call",$J180-$I180,$F180-$I180)))</f>
        <v/>
      </c>
      <c r="Q180" s="16" t="str">
        <f aca="false">IF($C180="","",IF($AA180="Open",$B$2,IF($M180&lt;&gt;"",$M180,$G180))-$A180)</f>
        <v/>
      </c>
      <c r="R180" s="16" t="str">
        <f aca="false">IF($C180="","",IF($AA180="Open",MAX($G180-$B$2,0),""))</f>
        <v/>
      </c>
      <c r="S180" s="15" t="str">
        <f aca="false">IF(OR($C180="",$AA180="Open"),"",IF($L180="Closed",-IF($E180="Sell to open",1,-1)*$N180*$E$2*$H180,0))</f>
        <v/>
      </c>
      <c r="T180" s="15" t="str">
        <f aca="false">IF(OR($C180="",$AA180="Open"),"",$O180+$S180-$K180)</f>
        <v/>
      </c>
      <c r="U180" s="15" t="str">
        <f aca="false">IF(OR($C180="",$AA180="Open"),"",IF(AND($C180="Covered call",$L180="Assigned"),($F180-$J180)*$E$2*$H180,0))</f>
        <v/>
      </c>
      <c r="V180" s="15" t="str">
        <f aca="false">IF(OR($C180="",$AA180="Open"),"",$T180+$U180)</f>
        <v/>
      </c>
      <c r="W180" s="15" t="str">
        <f aca="false">IF($C180="","",IF(OR($C180="Long call",$C180="Long put"),$I180*$E$2*$H180,(IF($C180="Covered call",$J180,$F180)-$I180)*$E$2*$H180))</f>
        <v/>
      </c>
      <c r="X180" s="17" t="str">
        <f aca="false">IF(OR($C180="",$AA180="Open"),"",IF($W180&gt;0,$V180/$W180,""))</f>
        <v/>
      </c>
      <c r="Y180" s="17" t="str">
        <f aca="false">IF(OR($C180="",$AA180="Open"),"",IF($W180&gt;0,$X180*365/MAX($Q180,1),""))</f>
        <v/>
      </c>
      <c r="Z180" s="18" t="str">
        <f aca="false">IF(OR($C180="",$AA180="Open"),"",IF($M180&lt;&gt;"",$M180,$G180))</f>
        <v/>
      </c>
      <c r="AA180" s="12" t="str">
        <f aca="false">IF($C180="","",IF(OR($L180="Open",$L180=""),"Open","Realized"))</f>
        <v/>
      </c>
    </row>
    <row r="181" customFormat="false" ht="15" hidden="false" customHeight="false" outlineLevel="0" collapsed="false">
      <c r="A181" s="7"/>
      <c r="B181" s="9"/>
      <c r="C181" s="32"/>
      <c r="D181" s="12" t="str">
        <f aca="false">IF($C181="","",IF(OR($C181="Long call",$C181="Covered call"),"Call","Put"))</f>
        <v/>
      </c>
      <c r="E181" s="12" t="str">
        <f aca="false">IF($C181="","",IF(OR($C181="Long call",$C181="Long put"),"Buy to open","Sell to open"))</f>
        <v/>
      </c>
      <c r="F181" s="13"/>
      <c r="G181" s="7"/>
      <c r="H181" s="14"/>
      <c r="I181" s="13"/>
      <c r="J181" s="13"/>
      <c r="K181" s="13"/>
      <c r="L181" s="32"/>
      <c r="M181" s="7"/>
      <c r="N181" s="13"/>
      <c r="O181" s="15" t="str">
        <f aca="false">IF($C181="","",IF($E181="Sell to open",1,-1)*$I181*$E$2*$H181)</f>
        <v/>
      </c>
      <c r="P181" s="15" t="str">
        <f aca="false">IF($C181="","",IF($C181="Long call",$F181+$I181,IF($C181="Covered call",$J181-$I181,$F181-$I181)))</f>
        <v/>
      </c>
      <c r="Q181" s="16" t="str">
        <f aca="false">IF($C181="","",IF($AA181="Open",$B$2,IF($M181&lt;&gt;"",$M181,$G181))-$A181)</f>
        <v/>
      </c>
      <c r="R181" s="16" t="str">
        <f aca="false">IF($C181="","",IF($AA181="Open",MAX($G181-$B$2,0),""))</f>
        <v/>
      </c>
      <c r="S181" s="15" t="str">
        <f aca="false">IF(OR($C181="",$AA181="Open"),"",IF($L181="Closed",-IF($E181="Sell to open",1,-1)*$N181*$E$2*$H181,0))</f>
        <v/>
      </c>
      <c r="T181" s="15" t="str">
        <f aca="false">IF(OR($C181="",$AA181="Open"),"",$O181+$S181-$K181)</f>
        <v/>
      </c>
      <c r="U181" s="15" t="str">
        <f aca="false">IF(OR($C181="",$AA181="Open"),"",IF(AND($C181="Covered call",$L181="Assigned"),($F181-$J181)*$E$2*$H181,0))</f>
        <v/>
      </c>
      <c r="V181" s="15" t="str">
        <f aca="false">IF(OR($C181="",$AA181="Open"),"",$T181+$U181)</f>
        <v/>
      </c>
      <c r="W181" s="15" t="str">
        <f aca="false">IF($C181="","",IF(OR($C181="Long call",$C181="Long put"),$I181*$E$2*$H181,(IF($C181="Covered call",$J181,$F181)-$I181)*$E$2*$H181))</f>
        <v/>
      </c>
      <c r="X181" s="17" t="str">
        <f aca="false">IF(OR($C181="",$AA181="Open"),"",IF($W181&gt;0,$V181/$W181,""))</f>
        <v/>
      </c>
      <c r="Y181" s="17" t="str">
        <f aca="false">IF(OR($C181="",$AA181="Open"),"",IF($W181&gt;0,$X181*365/MAX($Q181,1),""))</f>
        <v/>
      </c>
      <c r="Z181" s="18" t="str">
        <f aca="false">IF(OR($C181="",$AA181="Open"),"",IF($M181&lt;&gt;"",$M181,$G181))</f>
        <v/>
      </c>
      <c r="AA181" s="12" t="str">
        <f aca="false">IF($C181="","",IF(OR($L181="Open",$L181=""),"Open","Realized"))</f>
        <v/>
      </c>
    </row>
    <row r="182" customFormat="false" ht="15" hidden="false" customHeight="false" outlineLevel="0" collapsed="false">
      <c r="A182" s="7"/>
      <c r="B182" s="9"/>
      <c r="C182" s="32"/>
      <c r="D182" s="12" t="str">
        <f aca="false">IF($C182="","",IF(OR($C182="Long call",$C182="Covered call"),"Call","Put"))</f>
        <v/>
      </c>
      <c r="E182" s="12" t="str">
        <f aca="false">IF($C182="","",IF(OR($C182="Long call",$C182="Long put"),"Buy to open","Sell to open"))</f>
        <v/>
      </c>
      <c r="F182" s="13"/>
      <c r="G182" s="7"/>
      <c r="H182" s="14"/>
      <c r="I182" s="13"/>
      <c r="J182" s="13"/>
      <c r="K182" s="13"/>
      <c r="L182" s="32"/>
      <c r="M182" s="7"/>
      <c r="N182" s="13"/>
      <c r="O182" s="15" t="str">
        <f aca="false">IF($C182="","",IF($E182="Sell to open",1,-1)*$I182*$E$2*$H182)</f>
        <v/>
      </c>
      <c r="P182" s="15" t="str">
        <f aca="false">IF($C182="","",IF($C182="Long call",$F182+$I182,IF($C182="Covered call",$J182-$I182,$F182-$I182)))</f>
        <v/>
      </c>
      <c r="Q182" s="16" t="str">
        <f aca="false">IF($C182="","",IF($AA182="Open",$B$2,IF($M182&lt;&gt;"",$M182,$G182))-$A182)</f>
        <v/>
      </c>
      <c r="R182" s="16" t="str">
        <f aca="false">IF($C182="","",IF($AA182="Open",MAX($G182-$B$2,0),""))</f>
        <v/>
      </c>
      <c r="S182" s="15" t="str">
        <f aca="false">IF(OR($C182="",$AA182="Open"),"",IF($L182="Closed",-IF($E182="Sell to open",1,-1)*$N182*$E$2*$H182,0))</f>
        <v/>
      </c>
      <c r="T182" s="15" t="str">
        <f aca="false">IF(OR($C182="",$AA182="Open"),"",$O182+$S182-$K182)</f>
        <v/>
      </c>
      <c r="U182" s="15" t="str">
        <f aca="false">IF(OR($C182="",$AA182="Open"),"",IF(AND($C182="Covered call",$L182="Assigned"),($F182-$J182)*$E$2*$H182,0))</f>
        <v/>
      </c>
      <c r="V182" s="15" t="str">
        <f aca="false">IF(OR($C182="",$AA182="Open"),"",$T182+$U182)</f>
        <v/>
      </c>
      <c r="W182" s="15" t="str">
        <f aca="false">IF($C182="","",IF(OR($C182="Long call",$C182="Long put"),$I182*$E$2*$H182,(IF($C182="Covered call",$J182,$F182)-$I182)*$E$2*$H182))</f>
        <v/>
      </c>
      <c r="X182" s="17" t="str">
        <f aca="false">IF(OR($C182="",$AA182="Open"),"",IF($W182&gt;0,$V182/$W182,""))</f>
        <v/>
      </c>
      <c r="Y182" s="17" t="str">
        <f aca="false">IF(OR($C182="",$AA182="Open"),"",IF($W182&gt;0,$X182*365/MAX($Q182,1),""))</f>
        <v/>
      </c>
      <c r="Z182" s="18" t="str">
        <f aca="false">IF(OR($C182="",$AA182="Open"),"",IF($M182&lt;&gt;"",$M182,$G182))</f>
        <v/>
      </c>
      <c r="AA182" s="12" t="str">
        <f aca="false">IF($C182="","",IF(OR($L182="Open",$L182=""),"Open","Realized"))</f>
        <v/>
      </c>
    </row>
    <row r="183" customFormat="false" ht="15" hidden="false" customHeight="false" outlineLevel="0" collapsed="false">
      <c r="A183" s="7"/>
      <c r="B183" s="9"/>
      <c r="C183" s="32"/>
      <c r="D183" s="12" t="str">
        <f aca="false">IF($C183="","",IF(OR($C183="Long call",$C183="Covered call"),"Call","Put"))</f>
        <v/>
      </c>
      <c r="E183" s="12" t="str">
        <f aca="false">IF($C183="","",IF(OR($C183="Long call",$C183="Long put"),"Buy to open","Sell to open"))</f>
        <v/>
      </c>
      <c r="F183" s="13"/>
      <c r="G183" s="7"/>
      <c r="H183" s="14"/>
      <c r="I183" s="13"/>
      <c r="J183" s="13"/>
      <c r="K183" s="13"/>
      <c r="L183" s="32"/>
      <c r="M183" s="7"/>
      <c r="N183" s="13"/>
      <c r="O183" s="15" t="str">
        <f aca="false">IF($C183="","",IF($E183="Sell to open",1,-1)*$I183*$E$2*$H183)</f>
        <v/>
      </c>
      <c r="P183" s="15" t="str">
        <f aca="false">IF($C183="","",IF($C183="Long call",$F183+$I183,IF($C183="Covered call",$J183-$I183,$F183-$I183)))</f>
        <v/>
      </c>
      <c r="Q183" s="16" t="str">
        <f aca="false">IF($C183="","",IF($AA183="Open",$B$2,IF($M183&lt;&gt;"",$M183,$G183))-$A183)</f>
        <v/>
      </c>
      <c r="R183" s="16" t="str">
        <f aca="false">IF($C183="","",IF($AA183="Open",MAX($G183-$B$2,0),""))</f>
        <v/>
      </c>
      <c r="S183" s="15" t="str">
        <f aca="false">IF(OR($C183="",$AA183="Open"),"",IF($L183="Closed",-IF($E183="Sell to open",1,-1)*$N183*$E$2*$H183,0))</f>
        <v/>
      </c>
      <c r="T183" s="15" t="str">
        <f aca="false">IF(OR($C183="",$AA183="Open"),"",$O183+$S183-$K183)</f>
        <v/>
      </c>
      <c r="U183" s="15" t="str">
        <f aca="false">IF(OR($C183="",$AA183="Open"),"",IF(AND($C183="Covered call",$L183="Assigned"),($F183-$J183)*$E$2*$H183,0))</f>
        <v/>
      </c>
      <c r="V183" s="15" t="str">
        <f aca="false">IF(OR($C183="",$AA183="Open"),"",$T183+$U183)</f>
        <v/>
      </c>
      <c r="W183" s="15" t="str">
        <f aca="false">IF($C183="","",IF(OR($C183="Long call",$C183="Long put"),$I183*$E$2*$H183,(IF($C183="Covered call",$J183,$F183)-$I183)*$E$2*$H183))</f>
        <v/>
      </c>
      <c r="X183" s="17" t="str">
        <f aca="false">IF(OR($C183="",$AA183="Open"),"",IF($W183&gt;0,$V183/$W183,""))</f>
        <v/>
      </c>
      <c r="Y183" s="17" t="str">
        <f aca="false">IF(OR($C183="",$AA183="Open"),"",IF($W183&gt;0,$X183*365/MAX($Q183,1),""))</f>
        <v/>
      </c>
      <c r="Z183" s="18" t="str">
        <f aca="false">IF(OR($C183="",$AA183="Open"),"",IF($M183&lt;&gt;"",$M183,$G183))</f>
        <v/>
      </c>
      <c r="AA183" s="12" t="str">
        <f aca="false">IF($C183="","",IF(OR($L183="Open",$L183=""),"Open","Realized"))</f>
        <v/>
      </c>
    </row>
    <row r="184" customFormat="false" ht="15" hidden="false" customHeight="false" outlineLevel="0" collapsed="false">
      <c r="A184" s="7"/>
      <c r="B184" s="9"/>
      <c r="C184" s="32"/>
      <c r="D184" s="12" t="str">
        <f aca="false">IF($C184="","",IF(OR($C184="Long call",$C184="Covered call"),"Call","Put"))</f>
        <v/>
      </c>
      <c r="E184" s="12" t="str">
        <f aca="false">IF($C184="","",IF(OR($C184="Long call",$C184="Long put"),"Buy to open","Sell to open"))</f>
        <v/>
      </c>
      <c r="F184" s="13"/>
      <c r="G184" s="7"/>
      <c r="H184" s="14"/>
      <c r="I184" s="13"/>
      <c r="J184" s="13"/>
      <c r="K184" s="13"/>
      <c r="L184" s="32"/>
      <c r="M184" s="7"/>
      <c r="N184" s="13"/>
      <c r="O184" s="15" t="str">
        <f aca="false">IF($C184="","",IF($E184="Sell to open",1,-1)*$I184*$E$2*$H184)</f>
        <v/>
      </c>
      <c r="P184" s="15" t="str">
        <f aca="false">IF($C184="","",IF($C184="Long call",$F184+$I184,IF($C184="Covered call",$J184-$I184,$F184-$I184)))</f>
        <v/>
      </c>
      <c r="Q184" s="16" t="str">
        <f aca="false">IF($C184="","",IF($AA184="Open",$B$2,IF($M184&lt;&gt;"",$M184,$G184))-$A184)</f>
        <v/>
      </c>
      <c r="R184" s="16" t="str">
        <f aca="false">IF($C184="","",IF($AA184="Open",MAX($G184-$B$2,0),""))</f>
        <v/>
      </c>
      <c r="S184" s="15" t="str">
        <f aca="false">IF(OR($C184="",$AA184="Open"),"",IF($L184="Closed",-IF($E184="Sell to open",1,-1)*$N184*$E$2*$H184,0))</f>
        <v/>
      </c>
      <c r="T184" s="15" t="str">
        <f aca="false">IF(OR($C184="",$AA184="Open"),"",$O184+$S184-$K184)</f>
        <v/>
      </c>
      <c r="U184" s="15" t="str">
        <f aca="false">IF(OR($C184="",$AA184="Open"),"",IF(AND($C184="Covered call",$L184="Assigned"),($F184-$J184)*$E$2*$H184,0))</f>
        <v/>
      </c>
      <c r="V184" s="15" t="str">
        <f aca="false">IF(OR($C184="",$AA184="Open"),"",$T184+$U184)</f>
        <v/>
      </c>
      <c r="W184" s="15" t="str">
        <f aca="false">IF($C184="","",IF(OR($C184="Long call",$C184="Long put"),$I184*$E$2*$H184,(IF($C184="Covered call",$J184,$F184)-$I184)*$E$2*$H184))</f>
        <v/>
      </c>
      <c r="X184" s="17" t="str">
        <f aca="false">IF(OR($C184="",$AA184="Open"),"",IF($W184&gt;0,$V184/$W184,""))</f>
        <v/>
      </c>
      <c r="Y184" s="17" t="str">
        <f aca="false">IF(OR($C184="",$AA184="Open"),"",IF($W184&gt;0,$X184*365/MAX($Q184,1),""))</f>
        <v/>
      </c>
      <c r="Z184" s="18" t="str">
        <f aca="false">IF(OR($C184="",$AA184="Open"),"",IF($M184&lt;&gt;"",$M184,$G184))</f>
        <v/>
      </c>
      <c r="AA184" s="12" t="str">
        <f aca="false">IF($C184="","",IF(OR($L184="Open",$L184=""),"Open","Realized"))</f>
        <v/>
      </c>
    </row>
    <row r="185" customFormat="false" ht="15" hidden="false" customHeight="false" outlineLevel="0" collapsed="false">
      <c r="A185" s="7"/>
      <c r="B185" s="9"/>
      <c r="C185" s="32"/>
      <c r="D185" s="12" t="str">
        <f aca="false">IF($C185="","",IF(OR($C185="Long call",$C185="Covered call"),"Call","Put"))</f>
        <v/>
      </c>
      <c r="E185" s="12" t="str">
        <f aca="false">IF($C185="","",IF(OR($C185="Long call",$C185="Long put"),"Buy to open","Sell to open"))</f>
        <v/>
      </c>
      <c r="F185" s="13"/>
      <c r="G185" s="7"/>
      <c r="H185" s="14"/>
      <c r="I185" s="13"/>
      <c r="J185" s="13"/>
      <c r="K185" s="13"/>
      <c r="L185" s="32"/>
      <c r="M185" s="7"/>
      <c r="N185" s="13"/>
      <c r="O185" s="15" t="str">
        <f aca="false">IF($C185="","",IF($E185="Sell to open",1,-1)*$I185*$E$2*$H185)</f>
        <v/>
      </c>
      <c r="P185" s="15" t="str">
        <f aca="false">IF($C185="","",IF($C185="Long call",$F185+$I185,IF($C185="Covered call",$J185-$I185,$F185-$I185)))</f>
        <v/>
      </c>
      <c r="Q185" s="16" t="str">
        <f aca="false">IF($C185="","",IF($AA185="Open",$B$2,IF($M185&lt;&gt;"",$M185,$G185))-$A185)</f>
        <v/>
      </c>
      <c r="R185" s="16" t="str">
        <f aca="false">IF($C185="","",IF($AA185="Open",MAX($G185-$B$2,0),""))</f>
        <v/>
      </c>
      <c r="S185" s="15" t="str">
        <f aca="false">IF(OR($C185="",$AA185="Open"),"",IF($L185="Closed",-IF($E185="Sell to open",1,-1)*$N185*$E$2*$H185,0))</f>
        <v/>
      </c>
      <c r="T185" s="15" t="str">
        <f aca="false">IF(OR($C185="",$AA185="Open"),"",$O185+$S185-$K185)</f>
        <v/>
      </c>
      <c r="U185" s="15" t="str">
        <f aca="false">IF(OR($C185="",$AA185="Open"),"",IF(AND($C185="Covered call",$L185="Assigned"),($F185-$J185)*$E$2*$H185,0))</f>
        <v/>
      </c>
      <c r="V185" s="15" t="str">
        <f aca="false">IF(OR($C185="",$AA185="Open"),"",$T185+$U185)</f>
        <v/>
      </c>
      <c r="W185" s="15" t="str">
        <f aca="false">IF($C185="","",IF(OR($C185="Long call",$C185="Long put"),$I185*$E$2*$H185,(IF($C185="Covered call",$J185,$F185)-$I185)*$E$2*$H185))</f>
        <v/>
      </c>
      <c r="X185" s="17" t="str">
        <f aca="false">IF(OR($C185="",$AA185="Open"),"",IF($W185&gt;0,$V185/$W185,""))</f>
        <v/>
      </c>
      <c r="Y185" s="17" t="str">
        <f aca="false">IF(OR($C185="",$AA185="Open"),"",IF($W185&gt;0,$X185*365/MAX($Q185,1),""))</f>
        <v/>
      </c>
      <c r="Z185" s="18" t="str">
        <f aca="false">IF(OR($C185="",$AA185="Open"),"",IF($M185&lt;&gt;"",$M185,$G185))</f>
        <v/>
      </c>
      <c r="AA185" s="12" t="str">
        <f aca="false">IF($C185="","",IF(OR($L185="Open",$L185=""),"Open","Realized"))</f>
        <v/>
      </c>
    </row>
    <row r="186" customFormat="false" ht="15" hidden="false" customHeight="false" outlineLevel="0" collapsed="false">
      <c r="A186" s="7"/>
      <c r="B186" s="9"/>
      <c r="C186" s="32"/>
      <c r="D186" s="12" t="str">
        <f aca="false">IF($C186="","",IF(OR($C186="Long call",$C186="Covered call"),"Call","Put"))</f>
        <v/>
      </c>
      <c r="E186" s="12" t="str">
        <f aca="false">IF($C186="","",IF(OR($C186="Long call",$C186="Long put"),"Buy to open","Sell to open"))</f>
        <v/>
      </c>
      <c r="F186" s="13"/>
      <c r="G186" s="7"/>
      <c r="H186" s="14"/>
      <c r="I186" s="13"/>
      <c r="J186" s="13"/>
      <c r="K186" s="13"/>
      <c r="L186" s="32"/>
      <c r="M186" s="7"/>
      <c r="N186" s="13"/>
      <c r="O186" s="15" t="str">
        <f aca="false">IF($C186="","",IF($E186="Sell to open",1,-1)*$I186*$E$2*$H186)</f>
        <v/>
      </c>
      <c r="P186" s="15" t="str">
        <f aca="false">IF($C186="","",IF($C186="Long call",$F186+$I186,IF($C186="Covered call",$J186-$I186,$F186-$I186)))</f>
        <v/>
      </c>
      <c r="Q186" s="16" t="str">
        <f aca="false">IF($C186="","",IF($AA186="Open",$B$2,IF($M186&lt;&gt;"",$M186,$G186))-$A186)</f>
        <v/>
      </c>
      <c r="R186" s="16" t="str">
        <f aca="false">IF($C186="","",IF($AA186="Open",MAX($G186-$B$2,0),""))</f>
        <v/>
      </c>
      <c r="S186" s="15" t="str">
        <f aca="false">IF(OR($C186="",$AA186="Open"),"",IF($L186="Closed",-IF($E186="Sell to open",1,-1)*$N186*$E$2*$H186,0))</f>
        <v/>
      </c>
      <c r="T186" s="15" t="str">
        <f aca="false">IF(OR($C186="",$AA186="Open"),"",$O186+$S186-$K186)</f>
        <v/>
      </c>
      <c r="U186" s="15" t="str">
        <f aca="false">IF(OR($C186="",$AA186="Open"),"",IF(AND($C186="Covered call",$L186="Assigned"),($F186-$J186)*$E$2*$H186,0))</f>
        <v/>
      </c>
      <c r="V186" s="15" t="str">
        <f aca="false">IF(OR($C186="",$AA186="Open"),"",$T186+$U186)</f>
        <v/>
      </c>
      <c r="W186" s="15" t="str">
        <f aca="false">IF($C186="","",IF(OR($C186="Long call",$C186="Long put"),$I186*$E$2*$H186,(IF($C186="Covered call",$J186,$F186)-$I186)*$E$2*$H186))</f>
        <v/>
      </c>
      <c r="X186" s="17" t="str">
        <f aca="false">IF(OR($C186="",$AA186="Open"),"",IF($W186&gt;0,$V186/$W186,""))</f>
        <v/>
      </c>
      <c r="Y186" s="17" t="str">
        <f aca="false">IF(OR($C186="",$AA186="Open"),"",IF($W186&gt;0,$X186*365/MAX($Q186,1),""))</f>
        <v/>
      </c>
      <c r="Z186" s="18" t="str">
        <f aca="false">IF(OR($C186="",$AA186="Open"),"",IF($M186&lt;&gt;"",$M186,$G186))</f>
        <v/>
      </c>
      <c r="AA186" s="12" t="str">
        <f aca="false">IF($C186="","",IF(OR($L186="Open",$L186=""),"Open","Realized"))</f>
        <v/>
      </c>
    </row>
    <row r="187" customFormat="false" ht="15" hidden="false" customHeight="false" outlineLevel="0" collapsed="false">
      <c r="A187" s="7"/>
      <c r="B187" s="9"/>
      <c r="C187" s="32"/>
      <c r="D187" s="12" t="str">
        <f aca="false">IF($C187="","",IF(OR($C187="Long call",$C187="Covered call"),"Call","Put"))</f>
        <v/>
      </c>
      <c r="E187" s="12" t="str">
        <f aca="false">IF($C187="","",IF(OR($C187="Long call",$C187="Long put"),"Buy to open","Sell to open"))</f>
        <v/>
      </c>
      <c r="F187" s="13"/>
      <c r="G187" s="7"/>
      <c r="H187" s="14"/>
      <c r="I187" s="13"/>
      <c r="J187" s="13"/>
      <c r="K187" s="13"/>
      <c r="L187" s="32"/>
      <c r="M187" s="7"/>
      <c r="N187" s="13"/>
      <c r="O187" s="15" t="str">
        <f aca="false">IF($C187="","",IF($E187="Sell to open",1,-1)*$I187*$E$2*$H187)</f>
        <v/>
      </c>
      <c r="P187" s="15" t="str">
        <f aca="false">IF($C187="","",IF($C187="Long call",$F187+$I187,IF($C187="Covered call",$J187-$I187,$F187-$I187)))</f>
        <v/>
      </c>
      <c r="Q187" s="16" t="str">
        <f aca="false">IF($C187="","",IF($AA187="Open",$B$2,IF($M187&lt;&gt;"",$M187,$G187))-$A187)</f>
        <v/>
      </c>
      <c r="R187" s="16" t="str">
        <f aca="false">IF($C187="","",IF($AA187="Open",MAX($G187-$B$2,0),""))</f>
        <v/>
      </c>
      <c r="S187" s="15" t="str">
        <f aca="false">IF(OR($C187="",$AA187="Open"),"",IF($L187="Closed",-IF($E187="Sell to open",1,-1)*$N187*$E$2*$H187,0))</f>
        <v/>
      </c>
      <c r="T187" s="15" t="str">
        <f aca="false">IF(OR($C187="",$AA187="Open"),"",$O187+$S187-$K187)</f>
        <v/>
      </c>
      <c r="U187" s="15" t="str">
        <f aca="false">IF(OR($C187="",$AA187="Open"),"",IF(AND($C187="Covered call",$L187="Assigned"),($F187-$J187)*$E$2*$H187,0))</f>
        <v/>
      </c>
      <c r="V187" s="15" t="str">
        <f aca="false">IF(OR($C187="",$AA187="Open"),"",$T187+$U187)</f>
        <v/>
      </c>
      <c r="W187" s="15" t="str">
        <f aca="false">IF($C187="","",IF(OR($C187="Long call",$C187="Long put"),$I187*$E$2*$H187,(IF($C187="Covered call",$J187,$F187)-$I187)*$E$2*$H187))</f>
        <v/>
      </c>
      <c r="X187" s="17" t="str">
        <f aca="false">IF(OR($C187="",$AA187="Open"),"",IF($W187&gt;0,$V187/$W187,""))</f>
        <v/>
      </c>
      <c r="Y187" s="17" t="str">
        <f aca="false">IF(OR($C187="",$AA187="Open"),"",IF($W187&gt;0,$X187*365/MAX($Q187,1),""))</f>
        <v/>
      </c>
      <c r="Z187" s="18" t="str">
        <f aca="false">IF(OR($C187="",$AA187="Open"),"",IF($M187&lt;&gt;"",$M187,$G187))</f>
        <v/>
      </c>
      <c r="AA187" s="12" t="str">
        <f aca="false">IF($C187="","",IF(OR($L187="Open",$L187=""),"Open","Realized"))</f>
        <v/>
      </c>
    </row>
    <row r="188" customFormat="false" ht="15" hidden="false" customHeight="false" outlineLevel="0" collapsed="false">
      <c r="A188" s="7"/>
      <c r="B188" s="9"/>
      <c r="C188" s="32"/>
      <c r="D188" s="12" t="str">
        <f aca="false">IF($C188="","",IF(OR($C188="Long call",$C188="Covered call"),"Call","Put"))</f>
        <v/>
      </c>
      <c r="E188" s="12" t="str">
        <f aca="false">IF($C188="","",IF(OR($C188="Long call",$C188="Long put"),"Buy to open","Sell to open"))</f>
        <v/>
      </c>
      <c r="F188" s="13"/>
      <c r="G188" s="7"/>
      <c r="H188" s="14"/>
      <c r="I188" s="13"/>
      <c r="J188" s="13"/>
      <c r="K188" s="13"/>
      <c r="L188" s="32"/>
      <c r="M188" s="7"/>
      <c r="N188" s="13"/>
      <c r="O188" s="15" t="str">
        <f aca="false">IF($C188="","",IF($E188="Sell to open",1,-1)*$I188*$E$2*$H188)</f>
        <v/>
      </c>
      <c r="P188" s="15" t="str">
        <f aca="false">IF($C188="","",IF($C188="Long call",$F188+$I188,IF($C188="Covered call",$J188-$I188,$F188-$I188)))</f>
        <v/>
      </c>
      <c r="Q188" s="16" t="str">
        <f aca="false">IF($C188="","",IF($AA188="Open",$B$2,IF($M188&lt;&gt;"",$M188,$G188))-$A188)</f>
        <v/>
      </c>
      <c r="R188" s="16" t="str">
        <f aca="false">IF($C188="","",IF($AA188="Open",MAX($G188-$B$2,0),""))</f>
        <v/>
      </c>
      <c r="S188" s="15" t="str">
        <f aca="false">IF(OR($C188="",$AA188="Open"),"",IF($L188="Closed",-IF($E188="Sell to open",1,-1)*$N188*$E$2*$H188,0))</f>
        <v/>
      </c>
      <c r="T188" s="15" t="str">
        <f aca="false">IF(OR($C188="",$AA188="Open"),"",$O188+$S188-$K188)</f>
        <v/>
      </c>
      <c r="U188" s="15" t="str">
        <f aca="false">IF(OR($C188="",$AA188="Open"),"",IF(AND($C188="Covered call",$L188="Assigned"),($F188-$J188)*$E$2*$H188,0))</f>
        <v/>
      </c>
      <c r="V188" s="15" t="str">
        <f aca="false">IF(OR($C188="",$AA188="Open"),"",$T188+$U188)</f>
        <v/>
      </c>
      <c r="W188" s="15" t="str">
        <f aca="false">IF($C188="","",IF(OR($C188="Long call",$C188="Long put"),$I188*$E$2*$H188,(IF($C188="Covered call",$J188,$F188)-$I188)*$E$2*$H188))</f>
        <v/>
      </c>
      <c r="X188" s="17" t="str">
        <f aca="false">IF(OR($C188="",$AA188="Open"),"",IF($W188&gt;0,$V188/$W188,""))</f>
        <v/>
      </c>
      <c r="Y188" s="17" t="str">
        <f aca="false">IF(OR($C188="",$AA188="Open"),"",IF($W188&gt;0,$X188*365/MAX($Q188,1),""))</f>
        <v/>
      </c>
      <c r="Z188" s="18" t="str">
        <f aca="false">IF(OR($C188="",$AA188="Open"),"",IF($M188&lt;&gt;"",$M188,$G188))</f>
        <v/>
      </c>
      <c r="AA188" s="12" t="str">
        <f aca="false">IF($C188="","",IF(OR($L188="Open",$L188=""),"Open","Realized"))</f>
        <v/>
      </c>
    </row>
    <row r="189" customFormat="false" ht="15" hidden="false" customHeight="false" outlineLevel="0" collapsed="false">
      <c r="A189" s="7"/>
      <c r="B189" s="9"/>
      <c r="C189" s="32"/>
      <c r="D189" s="12" t="str">
        <f aca="false">IF($C189="","",IF(OR($C189="Long call",$C189="Covered call"),"Call","Put"))</f>
        <v/>
      </c>
      <c r="E189" s="12" t="str">
        <f aca="false">IF($C189="","",IF(OR($C189="Long call",$C189="Long put"),"Buy to open","Sell to open"))</f>
        <v/>
      </c>
      <c r="F189" s="13"/>
      <c r="G189" s="7"/>
      <c r="H189" s="14"/>
      <c r="I189" s="13"/>
      <c r="J189" s="13"/>
      <c r="K189" s="13"/>
      <c r="L189" s="32"/>
      <c r="M189" s="7"/>
      <c r="N189" s="13"/>
      <c r="O189" s="15" t="str">
        <f aca="false">IF($C189="","",IF($E189="Sell to open",1,-1)*$I189*$E$2*$H189)</f>
        <v/>
      </c>
      <c r="P189" s="15" t="str">
        <f aca="false">IF($C189="","",IF($C189="Long call",$F189+$I189,IF($C189="Covered call",$J189-$I189,$F189-$I189)))</f>
        <v/>
      </c>
      <c r="Q189" s="16" t="str">
        <f aca="false">IF($C189="","",IF($AA189="Open",$B$2,IF($M189&lt;&gt;"",$M189,$G189))-$A189)</f>
        <v/>
      </c>
      <c r="R189" s="16" t="str">
        <f aca="false">IF($C189="","",IF($AA189="Open",MAX($G189-$B$2,0),""))</f>
        <v/>
      </c>
      <c r="S189" s="15" t="str">
        <f aca="false">IF(OR($C189="",$AA189="Open"),"",IF($L189="Closed",-IF($E189="Sell to open",1,-1)*$N189*$E$2*$H189,0))</f>
        <v/>
      </c>
      <c r="T189" s="15" t="str">
        <f aca="false">IF(OR($C189="",$AA189="Open"),"",$O189+$S189-$K189)</f>
        <v/>
      </c>
      <c r="U189" s="15" t="str">
        <f aca="false">IF(OR($C189="",$AA189="Open"),"",IF(AND($C189="Covered call",$L189="Assigned"),($F189-$J189)*$E$2*$H189,0))</f>
        <v/>
      </c>
      <c r="V189" s="15" t="str">
        <f aca="false">IF(OR($C189="",$AA189="Open"),"",$T189+$U189)</f>
        <v/>
      </c>
      <c r="W189" s="15" t="str">
        <f aca="false">IF($C189="","",IF(OR($C189="Long call",$C189="Long put"),$I189*$E$2*$H189,(IF($C189="Covered call",$J189,$F189)-$I189)*$E$2*$H189))</f>
        <v/>
      </c>
      <c r="X189" s="17" t="str">
        <f aca="false">IF(OR($C189="",$AA189="Open"),"",IF($W189&gt;0,$V189/$W189,""))</f>
        <v/>
      </c>
      <c r="Y189" s="17" t="str">
        <f aca="false">IF(OR($C189="",$AA189="Open"),"",IF($W189&gt;0,$X189*365/MAX($Q189,1),""))</f>
        <v/>
      </c>
      <c r="Z189" s="18" t="str">
        <f aca="false">IF(OR($C189="",$AA189="Open"),"",IF($M189&lt;&gt;"",$M189,$G189))</f>
        <v/>
      </c>
      <c r="AA189" s="12" t="str">
        <f aca="false">IF($C189="","",IF(OR($L189="Open",$L189=""),"Open","Realized"))</f>
        <v/>
      </c>
    </row>
    <row r="190" customFormat="false" ht="15" hidden="false" customHeight="false" outlineLevel="0" collapsed="false">
      <c r="A190" s="7"/>
      <c r="B190" s="9"/>
      <c r="C190" s="32"/>
      <c r="D190" s="12" t="str">
        <f aca="false">IF($C190="","",IF(OR($C190="Long call",$C190="Covered call"),"Call","Put"))</f>
        <v/>
      </c>
      <c r="E190" s="12" t="str">
        <f aca="false">IF($C190="","",IF(OR($C190="Long call",$C190="Long put"),"Buy to open","Sell to open"))</f>
        <v/>
      </c>
      <c r="F190" s="13"/>
      <c r="G190" s="7"/>
      <c r="H190" s="14"/>
      <c r="I190" s="13"/>
      <c r="J190" s="13"/>
      <c r="K190" s="13"/>
      <c r="L190" s="32"/>
      <c r="M190" s="7"/>
      <c r="N190" s="13"/>
      <c r="O190" s="15" t="str">
        <f aca="false">IF($C190="","",IF($E190="Sell to open",1,-1)*$I190*$E$2*$H190)</f>
        <v/>
      </c>
      <c r="P190" s="15" t="str">
        <f aca="false">IF($C190="","",IF($C190="Long call",$F190+$I190,IF($C190="Covered call",$J190-$I190,$F190-$I190)))</f>
        <v/>
      </c>
      <c r="Q190" s="16" t="str">
        <f aca="false">IF($C190="","",IF($AA190="Open",$B$2,IF($M190&lt;&gt;"",$M190,$G190))-$A190)</f>
        <v/>
      </c>
      <c r="R190" s="16" t="str">
        <f aca="false">IF($C190="","",IF($AA190="Open",MAX($G190-$B$2,0),""))</f>
        <v/>
      </c>
      <c r="S190" s="15" t="str">
        <f aca="false">IF(OR($C190="",$AA190="Open"),"",IF($L190="Closed",-IF($E190="Sell to open",1,-1)*$N190*$E$2*$H190,0))</f>
        <v/>
      </c>
      <c r="T190" s="15" t="str">
        <f aca="false">IF(OR($C190="",$AA190="Open"),"",$O190+$S190-$K190)</f>
        <v/>
      </c>
      <c r="U190" s="15" t="str">
        <f aca="false">IF(OR($C190="",$AA190="Open"),"",IF(AND($C190="Covered call",$L190="Assigned"),($F190-$J190)*$E$2*$H190,0))</f>
        <v/>
      </c>
      <c r="V190" s="15" t="str">
        <f aca="false">IF(OR($C190="",$AA190="Open"),"",$T190+$U190)</f>
        <v/>
      </c>
      <c r="W190" s="15" t="str">
        <f aca="false">IF($C190="","",IF(OR($C190="Long call",$C190="Long put"),$I190*$E$2*$H190,(IF($C190="Covered call",$J190,$F190)-$I190)*$E$2*$H190))</f>
        <v/>
      </c>
      <c r="X190" s="17" t="str">
        <f aca="false">IF(OR($C190="",$AA190="Open"),"",IF($W190&gt;0,$V190/$W190,""))</f>
        <v/>
      </c>
      <c r="Y190" s="17" t="str">
        <f aca="false">IF(OR($C190="",$AA190="Open"),"",IF($W190&gt;0,$X190*365/MAX($Q190,1),""))</f>
        <v/>
      </c>
      <c r="Z190" s="18" t="str">
        <f aca="false">IF(OR($C190="",$AA190="Open"),"",IF($M190&lt;&gt;"",$M190,$G190))</f>
        <v/>
      </c>
      <c r="AA190" s="12" t="str">
        <f aca="false">IF($C190="","",IF(OR($L190="Open",$L190=""),"Open","Realized"))</f>
        <v/>
      </c>
    </row>
    <row r="191" customFormat="false" ht="15" hidden="false" customHeight="false" outlineLevel="0" collapsed="false">
      <c r="A191" s="7"/>
      <c r="B191" s="9"/>
      <c r="C191" s="32"/>
      <c r="D191" s="12" t="str">
        <f aca="false">IF($C191="","",IF(OR($C191="Long call",$C191="Covered call"),"Call","Put"))</f>
        <v/>
      </c>
      <c r="E191" s="12" t="str">
        <f aca="false">IF($C191="","",IF(OR($C191="Long call",$C191="Long put"),"Buy to open","Sell to open"))</f>
        <v/>
      </c>
      <c r="F191" s="13"/>
      <c r="G191" s="7"/>
      <c r="H191" s="14"/>
      <c r="I191" s="13"/>
      <c r="J191" s="13"/>
      <c r="K191" s="13"/>
      <c r="L191" s="32"/>
      <c r="M191" s="7"/>
      <c r="N191" s="13"/>
      <c r="O191" s="15" t="str">
        <f aca="false">IF($C191="","",IF($E191="Sell to open",1,-1)*$I191*$E$2*$H191)</f>
        <v/>
      </c>
      <c r="P191" s="15" t="str">
        <f aca="false">IF($C191="","",IF($C191="Long call",$F191+$I191,IF($C191="Covered call",$J191-$I191,$F191-$I191)))</f>
        <v/>
      </c>
      <c r="Q191" s="16" t="str">
        <f aca="false">IF($C191="","",IF($AA191="Open",$B$2,IF($M191&lt;&gt;"",$M191,$G191))-$A191)</f>
        <v/>
      </c>
      <c r="R191" s="16" t="str">
        <f aca="false">IF($C191="","",IF($AA191="Open",MAX($G191-$B$2,0),""))</f>
        <v/>
      </c>
      <c r="S191" s="15" t="str">
        <f aca="false">IF(OR($C191="",$AA191="Open"),"",IF($L191="Closed",-IF($E191="Sell to open",1,-1)*$N191*$E$2*$H191,0))</f>
        <v/>
      </c>
      <c r="T191" s="15" t="str">
        <f aca="false">IF(OR($C191="",$AA191="Open"),"",$O191+$S191-$K191)</f>
        <v/>
      </c>
      <c r="U191" s="15" t="str">
        <f aca="false">IF(OR($C191="",$AA191="Open"),"",IF(AND($C191="Covered call",$L191="Assigned"),($F191-$J191)*$E$2*$H191,0))</f>
        <v/>
      </c>
      <c r="V191" s="15" t="str">
        <f aca="false">IF(OR($C191="",$AA191="Open"),"",$T191+$U191)</f>
        <v/>
      </c>
      <c r="W191" s="15" t="str">
        <f aca="false">IF($C191="","",IF(OR($C191="Long call",$C191="Long put"),$I191*$E$2*$H191,(IF($C191="Covered call",$J191,$F191)-$I191)*$E$2*$H191))</f>
        <v/>
      </c>
      <c r="X191" s="17" t="str">
        <f aca="false">IF(OR($C191="",$AA191="Open"),"",IF($W191&gt;0,$V191/$W191,""))</f>
        <v/>
      </c>
      <c r="Y191" s="17" t="str">
        <f aca="false">IF(OR($C191="",$AA191="Open"),"",IF($W191&gt;0,$X191*365/MAX($Q191,1),""))</f>
        <v/>
      </c>
      <c r="Z191" s="18" t="str">
        <f aca="false">IF(OR($C191="",$AA191="Open"),"",IF($M191&lt;&gt;"",$M191,$G191))</f>
        <v/>
      </c>
      <c r="AA191" s="12" t="str">
        <f aca="false">IF($C191="","",IF(OR($L191="Open",$L191=""),"Open","Realized"))</f>
        <v/>
      </c>
    </row>
    <row r="192" customFormat="false" ht="15" hidden="false" customHeight="false" outlineLevel="0" collapsed="false">
      <c r="A192" s="7"/>
      <c r="B192" s="9"/>
      <c r="C192" s="32"/>
      <c r="D192" s="12" t="str">
        <f aca="false">IF($C192="","",IF(OR($C192="Long call",$C192="Covered call"),"Call","Put"))</f>
        <v/>
      </c>
      <c r="E192" s="12" t="str">
        <f aca="false">IF($C192="","",IF(OR($C192="Long call",$C192="Long put"),"Buy to open","Sell to open"))</f>
        <v/>
      </c>
      <c r="F192" s="13"/>
      <c r="G192" s="7"/>
      <c r="H192" s="14"/>
      <c r="I192" s="13"/>
      <c r="J192" s="13"/>
      <c r="K192" s="13"/>
      <c r="L192" s="32"/>
      <c r="M192" s="7"/>
      <c r="N192" s="13"/>
      <c r="O192" s="15" t="str">
        <f aca="false">IF($C192="","",IF($E192="Sell to open",1,-1)*$I192*$E$2*$H192)</f>
        <v/>
      </c>
      <c r="P192" s="15" t="str">
        <f aca="false">IF($C192="","",IF($C192="Long call",$F192+$I192,IF($C192="Covered call",$J192-$I192,$F192-$I192)))</f>
        <v/>
      </c>
      <c r="Q192" s="16" t="str">
        <f aca="false">IF($C192="","",IF($AA192="Open",$B$2,IF($M192&lt;&gt;"",$M192,$G192))-$A192)</f>
        <v/>
      </c>
      <c r="R192" s="16" t="str">
        <f aca="false">IF($C192="","",IF($AA192="Open",MAX($G192-$B$2,0),""))</f>
        <v/>
      </c>
      <c r="S192" s="15" t="str">
        <f aca="false">IF(OR($C192="",$AA192="Open"),"",IF($L192="Closed",-IF($E192="Sell to open",1,-1)*$N192*$E$2*$H192,0))</f>
        <v/>
      </c>
      <c r="T192" s="15" t="str">
        <f aca="false">IF(OR($C192="",$AA192="Open"),"",$O192+$S192-$K192)</f>
        <v/>
      </c>
      <c r="U192" s="15" t="str">
        <f aca="false">IF(OR($C192="",$AA192="Open"),"",IF(AND($C192="Covered call",$L192="Assigned"),($F192-$J192)*$E$2*$H192,0))</f>
        <v/>
      </c>
      <c r="V192" s="15" t="str">
        <f aca="false">IF(OR($C192="",$AA192="Open"),"",$T192+$U192)</f>
        <v/>
      </c>
      <c r="W192" s="15" t="str">
        <f aca="false">IF($C192="","",IF(OR($C192="Long call",$C192="Long put"),$I192*$E$2*$H192,(IF($C192="Covered call",$J192,$F192)-$I192)*$E$2*$H192))</f>
        <v/>
      </c>
      <c r="X192" s="17" t="str">
        <f aca="false">IF(OR($C192="",$AA192="Open"),"",IF($W192&gt;0,$V192/$W192,""))</f>
        <v/>
      </c>
      <c r="Y192" s="17" t="str">
        <f aca="false">IF(OR($C192="",$AA192="Open"),"",IF($W192&gt;0,$X192*365/MAX($Q192,1),""))</f>
        <v/>
      </c>
      <c r="Z192" s="18" t="str">
        <f aca="false">IF(OR($C192="",$AA192="Open"),"",IF($M192&lt;&gt;"",$M192,$G192))</f>
        <v/>
      </c>
      <c r="AA192" s="12" t="str">
        <f aca="false">IF($C192="","",IF(OR($L192="Open",$L192=""),"Open","Realized"))</f>
        <v/>
      </c>
    </row>
    <row r="193" customFormat="false" ht="15" hidden="false" customHeight="false" outlineLevel="0" collapsed="false">
      <c r="A193" s="7"/>
      <c r="B193" s="9"/>
      <c r="C193" s="32"/>
      <c r="D193" s="12" t="str">
        <f aca="false">IF($C193="","",IF(OR($C193="Long call",$C193="Covered call"),"Call","Put"))</f>
        <v/>
      </c>
      <c r="E193" s="12" t="str">
        <f aca="false">IF($C193="","",IF(OR($C193="Long call",$C193="Long put"),"Buy to open","Sell to open"))</f>
        <v/>
      </c>
      <c r="F193" s="13"/>
      <c r="G193" s="7"/>
      <c r="H193" s="14"/>
      <c r="I193" s="13"/>
      <c r="J193" s="13"/>
      <c r="K193" s="13"/>
      <c r="L193" s="32"/>
      <c r="M193" s="7"/>
      <c r="N193" s="13"/>
      <c r="O193" s="15" t="str">
        <f aca="false">IF($C193="","",IF($E193="Sell to open",1,-1)*$I193*$E$2*$H193)</f>
        <v/>
      </c>
      <c r="P193" s="15" t="str">
        <f aca="false">IF($C193="","",IF($C193="Long call",$F193+$I193,IF($C193="Covered call",$J193-$I193,$F193-$I193)))</f>
        <v/>
      </c>
      <c r="Q193" s="16" t="str">
        <f aca="false">IF($C193="","",IF($AA193="Open",$B$2,IF($M193&lt;&gt;"",$M193,$G193))-$A193)</f>
        <v/>
      </c>
      <c r="R193" s="16" t="str">
        <f aca="false">IF($C193="","",IF($AA193="Open",MAX($G193-$B$2,0),""))</f>
        <v/>
      </c>
      <c r="S193" s="15" t="str">
        <f aca="false">IF(OR($C193="",$AA193="Open"),"",IF($L193="Closed",-IF($E193="Sell to open",1,-1)*$N193*$E$2*$H193,0))</f>
        <v/>
      </c>
      <c r="T193" s="15" t="str">
        <f aca="false">IF(OR($C193="",$AA193="Open"),"",$O193+$S193-$K193)</f>
        <v/>
      </c>
      <c r="U193" s="15" t="str">
        <f aca="false">IF(OR($C193="",$AA193="Open"),"",IF(AND($C193="Covered call",$L193="Assigned"),($F193-$J193)*$E$2*$H193,0))</f>
        <v/>
      </c>
      <c r="V193" s="15" t="str">
        <f aca="false">IF(OR($C193="",$AA193="Open"),"",$T193+$U193)</f>
        <v/>
      </c>
      <c r="W193" s="15" t="str">
        <f aca="false">IF($C193="","",IF(OR($C193="Long call",$C193="Long put"),$I193*$E$2*$H193,(IF($C193="Covered call",$J193,$F193)-$I193)*$E$2*$H193))</f>
        <v/>
      </c>
      <c r="X193" s="17" t="str">
        <f aca="false">IF(OR($C193="",$AA193="Open"),"",IF($W193&gt;0,$V193/$W193,""))</f>
        <v/>
      </c>
      <c r="Y193" s="17" t="str">
        <f aca="false">IF(OR($C193="",$AA193="Open"),"",IF($W193&gt;0,$X193*365/MAX($Q193,1),""))</f>
        <v/>
      </c>
      <c r="Z193" s="18" t="str">
        <f aca="false">IF(OR($C193="",$AA193="Open"),"",IF($M193&lt;&gt;"",$M193,$G193))</f>
        <v/>
      </c>
      <c r="AA193" s="12" t="str">
        <f aca="false">IF($C193="","",IF(OR($L193="Open",$L193=""),"Open","Realized"))</f>
        <v/>
      </c>
    </row>
    <row r="194" customFormat="false" ht="15" hidden="false" customHeight="false" outlineLevel="0" collapsed="false">
      <c r="A194" s="7"/>
      <c r="B194" s="9"/>
      <c r="C194" s="32"/>
      <c r="D194" s="12" t="str">
        <f aca="false">IF($C194="","",IF(OR($C194="Long call",$C194="Covered call"),"Call","Put"))</f>
        <v/>
      </c>
      <c r="E194" s="12" t="str">
        <f aca="false">IF($C194="","",IF(OR($C194="Long call",$C194="Long put"),"Buy to open","Sell to open"))</f>
        <v/>
      </c>
      <c r="F194" s="13"/>
      <c r="G194" s="7"/>
      <c r="H194" s="14"/>
      <c r="I194" s="13"/>
      <c r="J194" s="13"/>
      <c r="K194" s="13"/>
      <c r="L194" s="32"/>
      <c r="M194" s="7"/>
      <c r="N194" s="13"/>
      <c r="O194" s="15" t="str">
        <f aca="false">IF($C194="","",IF($E194="Sell to open",1,-1)*$I194*$E$2*$H194)</f>
        <v/>
      </c>
      <c r="P194" s="15" t="str">
        <f aca="false">IF($C194="","",IF($C194="Long call",$F194+$I194,IF($C194="Covered call",$J194-$I194,$F194-$I194)))</f>
        <v/>
      </c>
      <c r="Q194" s="16" t="str">
        <f aca="false">IF($C194="","",IF($AA194="Open",$B$2,IF($M194&lt;&gt;"",$M194,$G194))-$A194)</f>
        <v/>
      </c>
      <c r="R194" s="16" t="str">
        <f aca="false">IF($C194="","",IF($AA194="Open",MAX($G194-$B$2,0),""))</f>
        <v/>
      </c>
      <c r="S194" s="15" t="str">
        <f aca="false">IF(OR($C194="",$AA194="Open"),"",IF($L194="Closed",-IF($E194="Sell to open",1,-1)*$N194*$E$2*$H194,0))</f>
        <v/>
      </c>
      <c r="T194" s="15" t="str">
        <f aca="false">IF(OR($C194="",$AA194="Open"),"",$O194+$S194-$K194)</f>
        <v/>
      </c>
      <c r="U194" s="15" t="str">
        <f aca="false">IF(OR($C194="",$AA194="Open"),"",IF(AND($C194="Covered call",$L194="Assigned"),($F194-$J194)*$E$2*$H194,0))</f>
        <v/>
      </c>
      <c r="V194" s="15" t="str">
        <f aca="false">IF(OR($C194="",$AA194="Open"),"",$T194+$U194)</f>
        <v/>
      </c>
      <c r="W194" s="15" t="str">
        <f aca="false">IF($C194="","",IF(OR($C194="Long call",$C194="Long put"),$I194*$E$2*$H194,(IF($C194="Covered call",$J194,$F194)-$I194)*$E$2*$H194))</f>
        <v/>
      </c>
      <c r="X194" s="17" t="str">
        <f aca="false">IF(OR($C194="",$AA194="Open"),"",IF($W194&gt;0,$V194/$W194,""))</f>
        <v/>
      </c>
      <c r="Y194" s="17" t="str">
        <f aca="false">IF(OR($C194="",$AA194="Open"),"",IF($W194&gt;0,$X194*365/MAX($Q194,1),""))</f>
        <v/>
      </c>
      <c r="Z194" s="18" t="str">
        <f aca="false">IF(OR($C194="",$AA194="Open"),"",IF($M194&lt;&gt;"",$M194,$G194))</f>
        <v/>
      </c>
      <c r="AA194" s="12" t="str">
        <f aca="false">IF($C194="","",IF(OR($L194="Open",$L194=""),"Open","Realized"))</f>
        <v/>
      </c>
    </row>
    <row r="195" customFormat="false" ht="15" hidden="false" customHeight="false" outlineLevel="0" collapsed="false">
      <c r="A195" s="7"/>
      <c r="B195" s="9"/>
      <c r="C195" s="32"/>
      <c r="D195" s="12" t="str">
        <f aca="false">IF($C195="","",IF(OR($C195="Long call",$C195="Covered call"),"Call","Put"))</f>
        <v/>
      </c>
      <c r="E195" s="12" t="str">
        <f aca="false">IF($C195="","",IF(OR($C195="Long call",$C195="Long put"),"Buy to open","Sell to open"))</f>
        <v/>
      </c>
      <c r="F195" s="13"/>
      <c r="G195" s="7"/>
      <c r="H195" s="14"/>
      <c r="I195" s="13"/>
      <c r="J195" s="13"/>
      <c r="K195" s="13"/>
      <c r="L195" s="32"/>
      <c r="M195" s="7"/>
      <c r="N195" s="13"/>
      <c r="O195" s="15" t="str">
        <f aca="false">IF($C195="","",IF($E195="Sell to open",1,-1)*$I195*$E$2*$H195)</f>
        <v/>
      </c>
      <c r="P195" s="15" t="str">
        <f aca="false">IF($C195="","",IF($C195="Long call",$F195+$I195,IF($C195="Covered call",$J195-$I195,$F195-$I195)))</f>
        <v/>
      </c>
      <c r="Q195" s="16" t="str">
        <f aca="false">IF($C195="","",IF($AA195="Open",$B$2,IF($M195&lt;&gt;"",$M195,$G195))-$A195)</f>
        <v/>
      </c>
      <c r="R195" s="16" t="str">
        <f aca="false">IF($C195="","",IF($AA195="Open",MAX($G195-$B$2,0),""))</f>
        <v/>
      </c>
      <c r="S195" s="15" t="str">
        <f aca="false">IF(OR($C195="",$AA195="Open"),"",IF($L195="Closed",-IF($E195="Sell to open",1,-1)*$N195*$E$2*$H195,0))</f>
        <v/>
      </c>
      <c r="T195" s="15" t="str">
        <f aca="false">IF(OR($C195="",$AA195="Open"),"",$O195+$S195-$K195)</f>
        <v/>
      </c>
      <c r="U195" s="15" t="str">
        <f aca="false">IF(OR($C195="",$AA195="Open"),"",IF(AND($C195="Covered call",$L195="Assigned"),($F195-$J195)*$E$2*$H195,0))</f>
        <v/>
      </c>
      <c r="V195" s="15" t="str">
        <f aca="false">IF(OR($C195="",$AA195="Open"),"",$T195+$U195)</f>
        <v/>
      </c>
      <c r="W195" s="15" t="str">
        <f aca="false">IF($C195="","",IF(OR($C195="Long call",$C195="Long put"),$I195*$E$2*$H195,(IF($C195="Covered call",$J195,$F195)-$I195)*$E$2*$H195))</f>
        <v/>
      </c>
      <c r="X195" s="17" t="str">
        <f aca="false">IF(OR($C195="",$AA195="Open"),"",IF($W195&gt;0,$V195/$W195,""))</f>
        <v/>
      </c>
      <c r="Y195" s="17" t="str">
        <f aca="false">IF(OR($C195="",$AA195="Open"),"",IF($W195&gt;0,$X195*365/MAX($Q195,1),""))</f>
        <v/>
      </c>
      <c r="Z195" s="18" t="str">
        <f aca="false">IF(OR($C195="",$AA195="Open"),"",IF($M195&lt;&gt;"",$M195,$G195))</f>
        <v/>
      </c>
      <c r="AA195" s="12" t="str">
        <f aca="false">IF($C195="","",IF(OR($L195="Open",$L195=""),"Open","Realized"))</f>
        <v/>
      </c>
    </row>
    <row r="196" customFormat="false" ht="15" hidden="false" customHeight="false" outlineLevel="0" collapsed="false">
      <c r="A196" s="7"/>
      <c r="B196" s="9"/>
      <c r="C196" s="32"/>
      <c r="D196" s="12" t="str">
        <f aca="false">IF($C196="","",IF(OR($C196="Long call",$C196="Covered call"),"Call","Put"))</f>
        <v/>
      </c>
      <c r="E196" s="12" t="str">
        <f aca="false">IF($C196="","",IF(OR($C196="Long call",$C196="Long put"),"Buy to open","Sell to open"))</f>
        <v/>
      </c>
      <c r="F196" s="13"/>
      <c r="G196" s="7"/>
      <c r="H196" s="14"/>
      <c r="I196" s="13"/>
      <c r="J196" s="13"/>
      <c r="K196" s="13"/>
      <c r="L196" s="32"/>
      <c r="M196" s="7"/>
      <c r="N196" s="13"/>
      <c r="O196" s="15" t="str">
        <f aca="false">IF($C196="","",IF($E196="Sell to open",1,-1)*$I196*$E$2*$H196)</f>
        <v/>
      </c>
      <c r="P196" s="15" t="str">
        <f aca="false">IF($C196="","",IF($C196="Long call",$F196+$I196,IF($C196="Covered call",$J196-$I196,$F196-$I196)))</f>
        <v/>
      </c>
      <c r="Q196" s="16" t="str">
        <f aca="false">IF($C196="","",IF($AA196="Open",$B$2,IF($M196&lt;&gt;"",$M196,$G196))-$A196)</f>
        <v/>
      </c>
      <c r="R196" s="16" t="str">
        <f aca="false">IF($C196="","",IF($AA196="Open",MAX($G196-$B$2,0),""))</f>
        <v/>
      </c>
      <c r="S196" s="15" t="str">
        <f aca="false">IF(OR($C196="",$AA196="Open"),"",IF($L196="Closed",-IF($E196="Sell to open",1,-1)*$N196*$E$2*$H196,0))</f>
        <v/>
      </c>
      <c r="T196" s="15" t="str">
        <f aca="false">IF(OR($C196="",$AA196="Open"),"",$O196+$S196-$K196)</f>
        <v/>
      </c>
      <c r="U196" s="15" t="str">
        <f aca="false">IF(OR($C196="",$AA196="Open"),"",IF(AND($C196="Covered call",$L196="Assigned"),($F196-$J196)*$E$2*$H196,0))</f>
        <v/>
      </c>
      <c r="V196" s="15" t="str">
        <f aca="false">IF(OR($C196="",$AA196="Open"),"",$T196+$U196)</f>
        <v/>
      </c>
      <c r="W196" s="15" t="str">
        <f aca="false">IF($C196="","",IF(OR($C196="Long call",$C196="Long put"),$I196*$E$2*$H196,(IF($C196="Covered call",$J196,$F196)-$I196)*$E$2*$H196))</f>
        <v/>
      </c>
      <c r="X196" s="17" t="str">
        <f aca="false">IF(OR($C196="",$AA196="Open"),"",IF($W196&gt;0,$V196/$W196,""))</f>
        <v/>
      </c>
      <c r="Y196" s="17" t="str">
        <f aca="false">IF(OR($C196="",$AA196="Open"),"",IF($W196&gt;0,$X196*365/MAX($Q196,1),""))</f>
        <v/>
      </c>
      <c r="Z196" s="18" t="str">
        <f aca="false">IF(OR($C196="",$AA196="Open"),"",IF($M196&lt;&gt;"",$M196,$G196))</f>
        <v/>
      </c>
      <c r="AA196" s="12" t="str">
        <f aca="false">IF($C196="","",IF(OR($L196="Open",$L196=""),"Open","Realized"))</f>
        <v/>
      </c>
    </row>
    <row r="197" customFormat="false" ht="15" hidden="false" customHeight="false" outlineLevel="0" collapsed="false">
      <c r="A197" s="7"/>
      <c r="B197" s="9"/>
      <c r="C197" s="32"/>
      <c r="D197" s="12" t="str">
        <f aca="false">IF($C197="","",IF(OR($C197="Long call",$C197="Covered call"),"Call","Put"))</f>
        <v/>
      </c>
      <c r="E197" s="12" t="str">
        <f aca="false">IF($C197="","",IF(OR($C197="Long call",$C197="Long put"),"Buy to open","Sell to open"))</f>
        <v/>
      </c>
      <c r="F197" s="13"/>
      <c r="G197" s="7"/>
      <c r="H197" s="14"/>
      <c r="I197" s="13"/>
      <c r="J197" s="13"/>
      <c r="K197" s="13"/>
      <c r="L197" s="32"/>
      <c r="M197" s="7"/>
      <c r="N197" s="13"/>
      <c r="O197" s="15" t="str">
        <f aca="false">IF($C197="","",IF($E197="Sell to open",1,-1)*$I197*$E$2*$H197)</f>
        <v/>
      </c>
      <c r="P197" s="15" t="str">
        <f aca="false">IF($C197="","",IF($C197="Long call",$F197+$I197,IF($C197="Covered call",$J197-$I197,$F197-$I197)))</f>
        <v/>
      </c>
      <c r="Q197" s="16" t="str">
        <f aca="false">IF($C197="","",IF($AA197="Open",$B$2,IF($M197&lt;&gt;"",$M197,$G197))-$A197)</f>
        <v/>
      </c>
      <c r="R197" s="16" t="str">
        <f aca="false">IF($C197="","",IF($AA197="Open",MAX($G197-$B$2,0),""))</f>
        <v/>
      </c>
      <c r="S197" s="15" t="str">
        <f aca="false">IF(OR($C197="",$AA197="Open"),"",IF($L197="Closed",-IF($E197="Sell to open",1,-1)*$N197*$E$2*$H197,0))</f>
        <v/>
      </c>
      <c r="T197" s="15" t="str">
        <f aca="false">IF(OR($C197="",$AA197="Open"),"",$O197+$S197-$K197)</f>
        <v/>
      </c>
      <c r="U197" s="15" t="str">
        <f aca="false">IF(OR($C197="",$AA197="Open"),"",IF(AND($C197="Covered call",$L197="Assigned"),($F197-$J197)*$E$2*$H197,0))</f>
        <v/>
      </c>
      <c r="V197" s="15" t="str">
        <f aca="false">IF(OR($C197="",$AA197="Open"),"",$T197+$U197)</f>
        <v/>
      </c>
      <c r="W197" s="15" t="str">
        <f aca="false">IF($C197="","",IF(OR($C197="Long call",$C197="Long put"),$I197*$E$2*$H197,(IF($C197="Covered call",$J197,$F197)-$I197)*$E$2*$H197))</f>
        <v/>
      </c>
      <c r="X197" s="17" t="str">
        <f aca="false">IF(OR($C197="",$AA197="Open"),"",IF($W197&gt;0,$V197/$W197,""))</f>
        <v/>
      </c>
      <c r="Y197" s="17" t="str">
        <f aca="false">IF(OR($C197="",$AA197="Open"),"",IF($W197&gt;0,$X197*365/MAX($Q197,1),""))</f>
        <v/>
      </c>
      <c r="Z197" s="18" t="str">
        <f aca="false">IF(OR($C197="",$AA197="Open"),"",IF($M197&lt;&gt;"",$M197,$G197))</f>
        <v/>
      </c>
      <c r="AA197" s="12" t="str">
        <f aca="false">IF($C197="","",IF(OR($L197="Open",$L197=""),"Open","Realized"))</f>
        <v/>
      </c>
    </row>
    <row r="198" customFormat="false" ht="15" hidden="false" customHeight="false" outlineLevel="0" collapsed="false">
      <c r="A198" s="7"/>
      <c r="B198" s="9"/>
      <c r="C198" s="32"/>
      <c r="D198" s="12" t="str">
        <f aca="false">IF($C198="","",IF(OR($C198="Long call",$C198="Covered call"),"Call","Put"))</f>
        <v/>
      </c>
      <c r="E198" s="12" t="str">
        <f aca="false">IF($C198="","",IF(OR($C198="Long call",$C198="Long put"),"Buy to open","Sell to open"))</f>
        <v/>
      </c>
      <c r="F198" s="13"/>
      <c r="G198" s="7"/>
      <c r="H198" s="14"/>
      <c r="I198" s="13"/>
      <c r="J198" s="13"/>
      <c r="K198" s="13"/>
      <c r="L198" s="32"/>
      <c r="M198" s="7"/>
      <c r="N198" s="13"/>
      <c r="O198" s="15" t="str">
        <f aca="false">IF($C198="","",IF($E198="Sell to open",1,-1)*$I198*$E$2*$H198)</f>
        <v/>
      </c>
      <c r="P198" s="15" t="str">
        <f aca="false">IF($C198="","",IF($C198="Long call",$F198+$I198,IF($C198="Covered call",$J198-$I198,$F198-$I198)))</f>
        <v/>
      </c>
      <c r="Q198" s="16" t="str">
        <f aca="false">IF($C198="","",IF($AA198="Open",$B$2,IF($M198&lt;&gt;"",$M198,$G198))-$A198)</f>
        <v/>
      </c>
      <c r="R198" s="16" t="str">
        <f aca="false">IF($C198="","",IF($AA198="Open",MAX($G198-$B$2,0),""))</f>
        <v/>
      </c>
      <c r="S198" s="15" t="str">
        <f aca="false">IF(OR($C198="",$AA198="Open"),"",IF($L198="Closed",-IF($E198="Sell to open",1,-1)*$N198*$E$2*$H198,0))</f>
        <v/>
      </c>
      <c r="T198" s="15" t="str">
        <f aca="false">IF(OR($C198="",$AA198="Open"),"",$O198+$S198-$K198)</f>
        <v/>
      </c>
      <c r="U198" s="15" t="str">
        <f aca="false">IF(OR($C198="",$AA198="Open"),"",IF(AND($C198="Covered call",$L198="Assigned"),($F198-$J198)*$E$2*$H198,0))</f>
        <v/>
      </c>
      <c r="V198" s="15" t="str">
        <f aca="false">IF(OR($C198="",$AA198="Open"),"",$T198+$U198)</f>
        <v/>
      </c>
      <c r="W198" s="15" t="str">
        <f aca="false">IF($C198="","",IF(OR($C198="Long call",$C198="Long put"),$I198*$E$2*$H198,(IF($C198="Covered call",$J198,$F198)-$I198)*$E$2*$H198))</f>
        <v/>
      </c>
      <c r="X198" s="17" t="str">
        <f aca="false">IF(OR($C198="",$AA198="Open"),"",IF($W198&gt;0,$V198/$W198,""))</f>
        <v/>
      </c>
      <c r="Y198" s="17" t="str">
        <f aca="false">IF(OR($C198="",$AA198="Open"),"",IF($W198&gt;0,$X198*365/MAX($Q198,1),""))</f>
        <v/>
      </c>
      <c r="Z198" s="18" t="str">
        <f aca="false">IF(OR($C198="",$AA198="Open"),"",IF($M198&lt;&gt;"",$M198,$G198))</f>
        <v/>
      </c>
      <c r="AA198" s="12" t="str">
        <f aca="false">IF($C198="","",IF(OR($L198="Open",$L198=""),"Open","Realized"))</f>
        <v/>
      </c>
    </row>
    <row r="199" customFormat="false" ht="15" hidden="false" customHeight="false" outlineLevel="0" collapsed="false">
      <c r="A199" s="7"/>
      <c r="B199" s="9"/>
      <c r="C199" s="32"/>
      <c r="D199" s="12" t="str">
        <f aca="false">IF($C199="","",IF(OR($C199="Long call",$C199="Covered call"),"Call","Put"))</f>
        <v/>
      </c>
      <c r="E199" s="12" t="str">
        <f aca="false">IF($C199="","",IF(OR($C199="Long call",$C199="Long put"),"Buy to open","Sell to open"))</f>
        <v/>
      </c>
      <c r="F199" s="13"/>
      <c r="G199" s="7"/>
      <c r="H199" s="14"/>
      <c r="I199" s="13"/>
      <c r="J199" s="13"/>
      <c r="K199" s="13"/>
      <c r="L199" s="32"/>
      <c r="M199" s="7"/>
      <c r="N199" s="13"/>
      <c r="O199" s="15" t="str">
        <f aca="false">IF($C199="","",IF($E199="Sell to open",1,-1)*$I199*$E$2*$H199)</f>
        <v/>
      </c>
      <c r="P199" s="15" t="str">
        <f aca="false">IF($C199="","",IF($C199="Long call",$F199+$I199,IF($C199="Covered call",$J199-$I199,$F199-$I199)))</f>
        <v/>
      </c>
      <c r="Q199" s="16" t="str">
        <f aca="false">IF($C199="","",IF($AA199="Open",$B$2,IF($M199&lt;&gt;"",$M199,$G199))-$A199)</f>
        <v/>
      </c>
      <c r="R199" s="16" t="str">
        <f aca="false">IF($C199="","",IF($AA199="Open",MAX($G199-$B$2,0),""))</f>
        <v/>
      </c>
      <c r="S199" s="15" t="str">
        <f aca="false">IF(OR($C199="",$AA199="Open"),"",IF($L199="Closed",-IF($E199="Sell to open",1,-1)*$N199*$E$2*$H199,0))</f>
        <v/>
      </c>
      <c r="T199" s="15" t="str">
        <f aca="false">IF(OR($C199="",$AA199="Open"),"",$O199+$S199-$K199)</f>
        <v/>
      </c>
      <c r="U199" s="15" t="str">
        <f aca="false">IF(OR($C199="",$AA199="Open"),"",IF(AND($C199="Covered call",$L199="Assigned"),($F199-$J199)*$E$2*$H199,0))</f>
        <v/>
      </c>
      <c r="V199" s="15" t="str">
        <f aca="false">IF(OR($C199="",$AA199="Open"),"",$T199+$U199)</f>
        <v/>
      </c>
      <c r="W199" s="15" t="str">
        <f aca="false">IF($C199="","",IF(OR($C199="Long call",$C199="Long put"),$I199*$E$2*$H199,(IF($C199="Covered call",$J199,$F199)-$I199)*$E$2*$H199))</f>
        <v/>
      </c>
      <c r="X199" s="17" t="str">
        <f aca="false">IF(OR($C199="",$AA199="Open"),"",IF($W199&gt;0,$V199/$W199,""))</f>
        <v/>
      </c>
      <c r="Y199" s="17" t="str">
        <f aca="false">IF(OR($C199="",$AA199="Open"),"",IF($W199&gt;0,$X199*365/MAX($Q199,1),""))</f>
        <v/>
      </c>
      <c r="Z199" s="18" t="str">
        <f aca="false">IF(OR($C199="",$AA199="Open"),"",IF($M199&lt;&gt;"",$M199,$G199))</f>
        <v/>
      </c>
      <c r="AA199" s="12" t="str">
        <f aca="false">IF($C199="","",IF(OR($L199="Open",$L199=""),"Open","Realized"))</f>
        <v/>
      </c>
    </row>
    <row r="200" customFormat="false" ht="15" hidden="false" customHeight="false" outlineLevel="0" collapsed="false">
      <c r="A200" s="7"/>
      <c r="B200" s="9"/>
      <c r="C200" s="32"/>
      <c r="D200" s="12" t="str">
        <f aca="false">IF($C200="","",IF(OR($C200="Long call",$C200="Covered call"),"Call","Put"))</f>
        <v/>
      </c>
      <c r="E200" s="12" t="str">
        <f aca="false">IF($C200="","",IF(OR($C200="Long call",$C200="Long put"),"Buy to open","Sell to open"))</f>
        <v/>
      </c>
      <c r="F200" s="13"/>
      <c r="G200" s="7"/>
      <c r="H200" s="14"/>
      <c r="I200" s="13"/>
      <c r="J200" s="13"/>
      <c r="K200" s="13"/>
      <c r="L200" s="32"/>
      <c r="M200" s="7"/>
      <c r="N200" s="13"/>
      <c r="O200" s="15" t="str">
        <f aca="false">IF($C200="","",IF($E200="Sell to open",1,-1)*$I200*$E$2*$H200)</f>
        <v/>
      </c>
      <c r="P200" s="15" t="str">
        <f aca="false">IF($C200="","",IF($C200="Long call",$F200+$I200,IF($C200="Covered call",$J200-$I200,$F200-$I200)))</f>
        <v/>
      </c>
      <c r="Q200" s="16" t="str">
        <f aca="false">IF($C200="","",IF($AA200="Open",$B$2,IF($M200&lt;&gt;"",$M200,$G200))-$A200)</f>
        <v/>
      </c>
      <c r="R200" s="16" t="str">
        <f aca="false">IF($C200="","",IF($AA200="Open",MAX($G200-$B$2,0),""))</f>
        <v/>
      </c>
      <c r="S200" s="15" t="str">
        <f aca="false">IF(OR($C200="",$AA200="Open"),"",IF($L200="Closed",-IF($E200="Sell to open",1,-1)*$N200*$E$2*$H200,0))</f>
        <v/>
      </c>
      <c r="T200" s="15" t="str">
        <f aca="false">IF(OR($C200="",$AA200="Open"),"",$O200+$S200-$K200)</f>
        <v/>
      </c>
      <c r="U200" s="15" t="str">
        <f aca="false">IF(OR($C200="",$AA200="Open"),"",IF(AND($C200="Covered call",$L200="Assigned"),($F200-$J200)*$E$2*$H200,0))</f>
        <v/>
      </c>
      <c r="V200" s="15" t="str">
        <f aca="false">IF(OR($C200="",$AA200="Open"),"",$T200+$U200)</f>
        <v/>
      </c>
      <c r="W200" s="15" t="str">
        <f aca="false">IF($C200="","",IF(OR($C200="Long call",$C200="Long put"),$I200*$E$2*$H200,(IF($C200="Covered call",$J200,$F200)-$I200)*$E$2*$H200))</f>
        <v/>
      </c>
      <c r="X200" s="17" t="str">
        <f aca="false">IF(OR($C200="",$AA200="Open"),"",IF($W200&gt;0,$V200/$W200,""))</f>
        <v/>
      </c>
      <c r="Y200" s="17" t="str">
        <f aca="false">IF(OR($C200="",$AA200="Open"),"",IF($W200&gt;0,$X200*365/MAX($Q200,1),""))</f>
        <v/>
      </c>
      <c r="Z200" s="18" t="str">
        <f aca="false">IF(OR($C200="",$AA200="Open"),"",IF($M200&lt;&gt;"",$M200,$G200))</f>
        <v/>
      </c>
      <c r="AA200" s="12" t="str">
        <f aca="false">IF($C200="","",IF(OR($L200="Open",$L200=""),"Open","Realized"))</f>
        <v/>
      </c>
    </row>
    <row r="201" customFormat="false" ht="15" hidden="false" customHeight="false" outlineLevel="0" collapsed="false">
      <c r="A201" s="7"/>
      <c r="B201" s="9"/>
      <c r="C201" s="32"/>
      <c r="D201" s="12" t="str">
        <f aca="false">IF($C201="","",IF(OR($C201="Long call",$C201="Covered call"),"Call","Put"))</f>
        <v/>
      </c>
      <c r="E201" s="12" t="str">
        <f aca="false">IF($C201="","",IF(OR($C201="Long call",$C201="Long put"),"Buy to open","Sell to open"))</f>
        <v/>
      </c>
      <c r="F201" s="13"/>
      <c r="G201" s="7"/>
      <c r="H201" s="14"/>
      <c r="I201" s="13"/>
      <c r="J201" s="13"/>
      <c r="K201" s="13"/>
      <c r="L201" s="32"/>
      <c r="M201" s="7"/>
      <c r="N201" s="13"/>
      <c r="O201" s="15" t="str">
        <f aca="false">IF($C201="","",IF($E201="Sell to open",1,-1)*$I201*$E$2*$H201)</f>
        <v/>
      </c>
      <c r="P201" s="15" t="str">
        <f aca="false">IF($C201="","",IF($C201="Long call",$F201+$I201,IF($C201="Covered call",$J201-$I201,$F201-$I201)))</f>
        <v/>
      </c>
      <c r="Q201" s="16" t="str">
        <f aca="false">IF($C201="","",IF($AA201="Open",$B$2,IF($M201&lt;&gt;"",$M201,$G201))-$A201)</f>
        <v/>
      </c>
      <c r="R201" s="16" t="str">
        <f aca="false">IF($C201="","",IF($AA201="Open",MAX($G201-$B$2,0),""))</f>
        <v/>
      </c>
      <c r="S201" s="15" t="str">
        <f aca="false">IF(OR($C201="",$AA201="Open"),"",IF($L201="Closed",-IF($E201="Sell to open",1,-1)*$N201*$E$2*$H201,0))</f>
        <v/>
      </c>
      <c r="T201" s="15" t="str">
        <f aca="false">IF(OR($C201="",$AA201="Open"),"",$O201+$S201-$K201)</f>
        <v/>
      </c>
      <c r="U201" s="15" t="str">
        <f aca="false">IF(OR($C201="",$AA201="Open"),"",IF(AND($C201="Covered call",$L201="Assigned"),($F201-$J201)*$E$2*$H201,0))</f>
        <v/>
      </c>
      <c r="V201" s="15" t="str">
        <f aca="false">IF(OR($C201="",$AA201="Open"),"",$T201+$U201)</f>
        <v/>
      </c>
      <c r="W201" s="15" t="str">
        <f aca="false">IF($C201="","",IF(OR($C201="Long call",$C201="Long put"),$I201*$E$2*$H201,(IF($C201="Covered call",$J201,$F201)-$I201)*$E$2*$H201))</f>
        <v/>
      </c>
      <c r="X201" s="17" t="str">
        <f aca="false">IF(OR($C201="",$AA201="Open"),"",IF($W201&gt;0,$V201/$W201,""))</f>
        <v/>
      </c>
      <c r="Y201" s="17" t="str">
        <f aca="false">IF(OR($C201="",$AA201="Open"),"",IF($W201&gt;0,$X201*365/MAX($Q201,1),""))</f>
        <v/>
      </c>
      <c r="Z201" s="18" t="str">
        <f aca="false">IF(OR($C201="",$AA201="Open"),"",IF($M201&lt;&gt;"",$M201,$G201))</f>
        <v/>
      </c>
      <c r="AA201" s="12" t="str">
        <f aca="false">IF($C201="","",IF(OR($L201="Open",$L201=""),"Open","Realized"))</f>
        <v/>
      </c>
    </row>
    <row r="202" customFormat="false" ht="15" hidden="false" customHeight="false" outlineLevel="0" collapsed="false">
      <c r="A202" s="7"/>
      <c r="B202" s="9"/>
      <c r="C202" s="32"/>
      <c r="D202" s="12" t="str">
        <f aca="false">IF($C202="","",IF(OR($C202="Long call",$C202="Covered call"),"Call","Put"))</f>
        <v/>
      </c>
      <c r="E202" s="12" t="str">
        <f aca="false">IF($C202="","",IF(OR($C202="Long call",$C202="Long put"),"Buy to open","Sell to open"))</f>
        <v/>
      </c>
      <c r="F202" s="13"/>
      <c r="G202" s="7"/>
      <c r="H202" s="14"/>
      <c r="I202" s="13"/>
      <c r="J202" s="13"/>
      <c r="K202" s="13"/>
      <c r="L202" s="32"/>
      <c r="M202" s="7"/>
      <c r="N202" s="13"/>
      <c r="O202" s="15" t="str">
        <f aca="false">IF($C202="","",IF($E202="Sell to open",1,-1)*$I202*$E$2*$H202)</f>
        <v/>
      </c>
      <c r="P202" s="15" t="str">
        <f aca="false">IF($C202="","",IF($C202="Long call",$F202+$I202,IF($C202="Covered call",$J202-$I202,$F202-$I202)))</f>
        <v/>
      </c>
      <c r="Q202" s="16" t="str">
        <f aca="false">IF($C202="","",IF($AA202="Open",$B$2,IF($M202&lt;&gt;"",$M202,$G202))-$A202)</f>
        <v/>
      </c>
      <c r="R202" s="16" t="str">
        <f aca="false">IF($C202="","",IF($AA202="Open",MAX($G202-$B$2,0),""))</f>
        <v/>
      </c>
      <c r="S202" s="15" t="str">
        <f aca="false">IF(OR($C202="",$AA202="Open"),"",IF($L202="Closed",-IF($E202="Sell to open",1,-1)*$N202*$E$2*$H202,0))</f>
        <v/>
      </c>
      <c r="T202" s="15" t="str">
        <f aca="false">IF(OR($C202="",$AA202="Open"),"",$O202+$S202-$K202)</f>
        <v/>
      </c>
      <c r="U202" s="15" t="str">
        <f aca="false">IF(OR($C202="",$AA202="Open"),"",IF(AND($C202="Covered call",$L202="Assigned"),($F202-$J202)*$E$2*$H202,0))</f>
        <v/>
      </c>
      <c r="V202" s="15" t="str">
        <f aca="false">IF(OR($C202="",$AA202="Open"),"",$T202+$U202)</f>
        <v/>
      </c>
      <c r="W202" s="15" t="str">
        <f aca="false">IF($C202="","",IF(OR($C202="Long call",$C202="Long put"),$I202*$E$2*$H202,(IF($C202="Covered call",$J202,$F202)-$I202)*$E$2*$H202))</f>
        <v/>
      </c>
      <c r="X202" s="17" t="str">
        <f aca="false">IF(OR($C202="",$AA202="Open"),"",IF($W202&gt;0,$V202/$W202,""))</f>
        <v/>
      </c>
      <c r="Y202" s="17" t="str">
        <f aca="false">IF(OR($C202="",$AA202="Open"),"",IF($W202&gt;0,$X202*365/MAX($Q202,1),""))</f>
        <v/>
      </c>
      <c r="Z202" s="18" t="str">
        <f aca="false">IF(OR($C202="",$AA202="Open"),"",IF($M202&lt;&gt;"",$M202,$G202))</f>
        <v/>
      </c>
      <c r="AA202" s="12" t="str">
        <f aca="false">IF($C202="","",IF(OR($L202="Open",$L202=""),"Open","Realized"))</f>
        <v/>
      </c>
    </row>
    <row r="203" customFormat="false" ht="15" hidden="false" customHeight="false" outlineLevel="0" collapsed="false">
      <c r="A203" s="7"/>
      <c r="B203" s="9"/>
      <c r="C203" s="32"/>
      <c r="D203" s="12" t="str">
        <f aca="false">IF($C203="","",IF(OR($C203="Long call",$C203="Covered call"),"Call","Put"))</f>
        <v/>
      </c>
      <c r="E203" s="12" t="str">
        <f aca="false">IF($C203="","",IF(OR($C203="Long call",$C203="Long put"),"Buy to open","Sell to open"))</f>
        <v/>
      </c>
      <c r="F203" s="13"/>
      <c r="G203" s="7"/>
      <c r="H203" s="14"/>
      <c r="I203" s="13"/>
      <c r="J203" s="13"/>
      <c r="K203" s="13"/>
      <c r="L203" s="32"/>
      <c r="M203" s="7"/>
      <c r="N203" s="13"/>
      <c r="O203" s="15" t="str">
        <f aca="false">IF($C203="","",IF($E203="Sell to open",1,-1)*$I203*$E$2*$H203)</f>
        <v/>
      </c>
      <c r="P203" s="15" t="str">
        <f aca="false">IF($C203="","",IF($C203="Long call",$F203+$I203,IF($C203="Covered call",$J203-$I203,$F203-$I203)))</f>
        <v/>
      </c>
      <c r="Q203" s="16" t="str">
        <f aca="false">IF($C203="","",IF($AA203="Open",$B$2,IF($M203&lt;&gt;"",$M203,$G203))-$A203)</f>
        <v/>
      </c>
      <c r="R203" s="16" t="str">
        <f aca="false">IF($C203="","",IF($AA203="Open",MAX($G203-$B$2,0),""))</f>
        <v/>
      </c>
      <c r="S203" s="15" t="str">
        <f aca="false">IF(OR($C203="",$AA203="Open"),"",IF($L203="Closed",-IF($E203="Sell to open",1,-1)*$N203*$E$2*$H203,0))</f>
        <v/>
      </c>
      <c r="T203" s="15" t="str">
        <f aca="false">IF(OR($C203="",$AA203="Open"),"",$O203+$S203-$K203)</f>
        <v/>
      </c>
      <c r="U203" s="15" t="str">
        <f aca="false">IF(OR($C203="",$AA203="Open"),"",IF(AND($C203="Covered call",$L203="Assigned"),($F203-$J203)*$E$2*$H203,0))</f>
        <v/>
      </c>
      <c r="V203" s="15" t="str">
        <f aca="false">IF(OR($C203="",$AA203="Open"),"",$T203+$U203)</f>
        <v/>
      </c>
      <c r="W203" s="15" t="str">
        <f aca="false">IF($C203="","",IF(OR($C203="Long call",$C203="Long put"),$I203*$E$2*$H203,(IF($C203="Covered call",$J203,$F203)-$I203)*$E$2*$H203))</f>
        <v/>
      </c>
      <c r="X203" s="17" t="str">
        <f aca="false">IF(OR($C203="",$AA203="Open"),"",IF($W203&gt;0,$V203/$W203,""))</f>
        <v/>
      </c>
      <c r="Y203" s="17" t="str">
        <f aca="false">IF(OR($C203="",$AA203="Open"),"",IF($W203&gt;0,$X203*365/MAX($Q203,1),""))</f>
        <v/>
      </c>
      <c r="Z203" s="18" t="str">
        <f aca="false">IF(OR($C203="",$AA203="Open"),"",IF($M203&lt;&gt;"",$M203,$G203))</f>
        <v/>
      </c>
      <c r="AA203" s="12" t="str">
        <f aca="false">IF($C203="","",IF(OR($L203="Open",$L203=""),"Open","Realized"))</f>
        <v/>
      </c>
    </row>
    <row r="204" customFormat="false" ht="15" hidden="false" customHeight="false" outlineLevel="0" collapsed="false">
      <c r="A204" s="7"/>
      <c r="B204" s="9"/>
      <c r="C204" s="32"/>
      <c r="D204" s="12" t="str">
        <f aca="false">IF($C204="","",IF(OR($C204="Long call",$C204="Covered call"),"Call","Put"))</f>
        <v/>
      </c>
      <c r="E204" s="12" t="str">
        <f aca="false">IF($C204="","",IF(OR($C204="Long call",$C204="Long put"),"Buy to open","Sell to open"))</f>
        <v/>
      </c>
      <c r="F204" s="13"/>
      <c r="G204" s="7"/>
      <c r="H204" s="14"/>
      <c r="I204" s="13"/>
      <c r="J204" s="13"/>
      <c r="K204" s="13"/>
      <c r="L204" s="32"/>
      <c r="M204" s="7"/>
      <c r="N204" s="13"/>
      <c r="O204" s="15" t="str">
        <f aca="false">IF($C204="","",IF($E204="Sell to open",1,-1)*$I204*$E$2*$H204)</f>
        <v/>
      </c>
      <c r="P204" s="15" t="str">
        <f aca="false">IF($C204="","",IF($C204="Long call",$F204+$I204,IF($C204="Covered call",$J204-$I204,$F204-$I204)))</f>
        <v/>
      </c>
      <c r="Q204" s="16" t="str">
        <f aca="false">IF($C204="","",IF($AA204="Open",$B$2,IF($M204&lt;&gt;"",$M204,$G204))-$A204)</f>
        <v/>
      </c>
      <c r="R204" s="16" t="str">
        <f aca="false">IF($C204="","",IF($AA204="Open",MAX($G204-$B$2,0),""))</f>
        <v/>
      </c>
      <c r="S204" s="15" t="str">
        <f aca="false">IF(OR($C204="",$AA204="Open"),"",IF($L204="Closed",-IF($E204="Sell to open",1,-1)*$N204*$E$2*$H204,0))</f>
        <v/>
      </c>
      <c r="T204" s="15" t="str">
        <f aca="false">IF(OR($C204="",$AA204="Open"),"",$O204+$S204-$K204)</f>
        <v/>
      </c>
      <c r="U204" s="15" t="str">
        <f aca="false">IF(OR($C204="",$AA204="Open"),"",IF(AND($C204="Covered call",$L204="Assigned"),($F204-$J204)*$E$2*$H204,0))</f>
        <v/>
      </c>
      <c r="V204" s="15" t="str">
        <f aca="false">IF(OR($C204="",$AA204="Open"),"",$T204+$U204)</f>
        <v/>
      </c>
      <c r="W204" s="15" t="str">
        <f aca="false">IF($C204="","",IF(OR($C204="Long call",$C204="Long put"),$I204*$E$2*$H204,(IF($C204="Covered call",$J204,$F204)-$I204)*$E$2*$H204))</f>
        <v/>
      </c>
      <c r="X204" s="17" t="str">
        <f aca="false">IF(OR($C204="",$AA204="Open"),"",IF($W204&gt;0,$V204/$W204,""))</f>
        <v/>
      </c>
      <c r="Y204" s="17" t="str">
        <f aca="false">IF(OR($C204="",$AA204="Open"),"",IF($W204&gt;0,$X204*365/MAX($Q204,1),""))</f>
        <v/>
      </c>
      <c r="Z204" s="18" t="str">
        <f aca="false">IF(OR($C204="",$AA204="Open"),"",IF($M204&lt;&gt;"",$M204,$G204))</f>
        <v/>
      </c>
      <c r="AA204" s="12" t="str">
        <f aca="false">IF($C204="","",IF(OR($L204="Open",$L204=""),"Open","Realized"))</f>
        <v/>
      </c>
    </row>
  </sheetData>
  <conditionalFormatting sqref="V5:V204">
    <cfRule type="cellIs" priority="2" operator="lessThan" aboveAverage="0" equalAverage="0" bottom="0" percent="0" rank="0" text="" dxfId="0">
      <formula>0</formula>
    </cfRule>
  </conditionalFormatting>
  <dataValidations count="3">
    <dataValidation allowBlank="true" error="Contracts must be a whole number above 0." errorStyle="stop" operator="greaterThan" showDropDown="false" showErrorMessage="true" showInputMessage="false" sqref="H5:H204" type="whole">
      <formula1>0</formula1>
      <formula2>0</formula2>
    </dataValidation>
    <dataValidation allowBlank="true" error="Pick a strategy from the list." errorStyle="stop" errorTitle="Strategy" operator="between" showDropDown="false" showErrorMessage="true" showInputMessage="false" sqref="C5:C204" type="list">
      <formula1>"Long call,Long put,Covered call,Cash-secured put"</formula1>
      <formula2>0</formula2>
    </dataValidation>
    <dataValidation allowBlank="true" error="Pick Open, Closed, Expired or Assigned." errorStyle="stop" errorTitle="Status" operator="between" showDropDown="false" showErrorMessage="true" showInputMessage="false" sqref="L5:L204" type="list">
      <formula1>"Open,Closed,Expired,Assigned"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4"/>
    <col collapsed="false" customWidth="true" hidden="false" outlineLevel="0" max="3" min="3" style="0" width="11"/>
    <col collapsed="false" customWidth="true" hidden="false" outlineLevel="0" max="4" min="4" style="0" width="10"/>
    <col collapsed="false" customWidth="true" hidden="false" outlineLevel="0" max="5" min="5" style="0" width="12"/>
    <col collapsed="false" customWidth="true" hidden="false" outlineLevel="0" max="6" min="6" style="0" width="14"/>
    <col collapsed="false" customWidth="true" hidden="false" outlineLevel="0" max="7" min="7" style="0" width="13"/>
    <col collapsed="false" customWidth="true" hidden="false" outlineLevel="0" max="8" min="8" style="0" width="15"/>
    <col collapsed="false" customWidth="true" hidden="false" outlineLevel="0" max="10" min="9" style="0" width="12"/>
  </cols>
  <sheetData>
    <row r="1" customFormat="false" ht="19.7" hidden="false" customHeight="false" outlineLevel="0" collapsed="false">
      <c r="A1" s="5" t="s">
        <v>108</v>
      </c>
    </row>
    <row r="2" customFormat="false" ht="15" hidden="false" customHeight="false" outlineLevel="0" collapsed="false">
      <c r="A2" s="10" t="s">
        <v>109</v>
      </c>
    </row>
    <row r="4" customFormat="false" ht="45.75" hidden="false" customHeight="true" outlineLevel="0" collapsed="false">
      <c r="A4" s="11" t="s">
        <v>55</v>
      </c>
      <c r="B4" s="11" t="s">
        <v>77</v>
      </c>
      <c r="C4" s="11" t="s">
        <v>78</v>
      </c>
      <c r="D4" s="11" t="s">
        <v>79</v>
      </c>
      <c r="E4" s="11" t="s">
        <v>80</v>
      </c>
      <c r="F4" s="11" t="s">
        <v>72</v>
      </c>
      <c r="G4" s="11" t="s">
        <v>81</v>
      </c>
      <c r="H4" s="11" t="s">
        <v>82</v>
      </c>
      <c r="I4" s="11" t="s">
        <v>33</v>
      </c>
      <c r="J4" s="11" t="s">
        <v>83</v>
      </c>
    </row>
    <row r="5" customFormat="false" ht="15" hidden="false" customHeight="false" outlineLevel="0" collapsed="false">
      <c r="A5" s="19" t="s">
        <v>84</v>
      </c>
      <c r="B5" s="20" t="n">
        <f aca="false">COUNTIFS('Example Trades'!$C$5:$C$204,$A5)</f>
        <v>2</v>
      </c>
      <c r="C5" s="20" t="n">
        <f aca="false">COUNTIFS('Example Trades'!$C$5:$C$204,$A5,'Example Trades'!$AA$5:$AA$204,"Open")</f>
        <v>0</v>
      </c>
      <c r="D5" s="20" t="n">
        <f aca="false">COUNTIFS('Example Trades'!$C$5:$C$204,$A5,'Example Trades'!$AA$5:$AA$204,"Realized")</f>
        <v>2</v>
      </c>
      <c r="E5" s="20" t="n">
        <f aca="false">COUNTIFS('Example Trades'!$C$5:$C$204,$A5,'Example Trades'!$V$5:$V$204,"&gt;0")</f>
        <v>1</v>
      </c>
      <c r="F5" s="21" t="n">
        <f aca="false">SUMIFS('Example Trades'!$V$5:$V$204,'Example Trades'!$C$5:$C$204,$A5)</f>
        <v>-112.6</v>
      </c>
      <c r="G5" s="21" t="n">
        <f aca="false">SUMIFS('Example Trades'!$K$5:$K$204,'Example Trades'!$C$5:$C$204,$A5,'Example Trades'!$AA$5:$AA$204,"Realized")</f>
        <v>2.6</v>
      </c>
      <c r="H5" s="21" t="n">
        <f aca="false">SUMIFS('Example Trades'!$W$5:$W$204,'Example Trades'!$C$5:$C$204,$A5,'Example Trades'!$AA$5:$AA$204,"Realized")</f>
        <v>800</v>
      </c>
      <c r="I5" s="22" t="n">
        <f aca="false">IF(H5&gt;0,F5/H5,"")</f>
        <v>-0.14075</v>
      </c>
      <c r="J5" s="23" t="n">
        <f aca="false">IF(D5&gt;0,SUMIFS('Example Trades'!$Q$5:$Q$204,'Example Trades'!$C$5:$C$204,$A5,'Example Trades'!$AA$5:$AA$204,"Realized")/D5,"")</f>
        <v>48</v>
      </c>
    </row>
    <row r="6" customFormat="false" ht="15" hidden="false" customHeight="false" outlineLevel="0" collapsed="false">
      <c r="A6" s="19" t="s">
        <v>85</v>
      </c>
      <c r="B6" s="20" t="n">
        <f aca="false">COUNTIFS('Example Trades'!$C$5:$C$204,$A6)</f>
        <v>2</v>
      </c>
      <c r="C6" s="20" t="n">
        <f aca="false">COUNTIFS('Example Trades'!$C$5:$C$204,$A6,'Example Trades'!$AA$5:$AA$204,"Open")</f>
        <v>1</v>
      </c>
      <c r="D6" s="20" t="n">
        <f aca="false">COUNTIFS('Example Trades'!$C$5:$C$204,$A6,'Example Trades'!$AA$5:$AA$204,"Realized")</f>
        <v>1</v>
      </c>
      <c r="E6" s="20" t="n">
        <f aca="false">COUNTIFS('Example Trades'!$C$5:$C$204,$A6,'Example Trades'!$V$5:$V$204,"&gt;0")</f>
        <v>0</v>
      </c>
      <c r="F6" s="21" t="n">
        <f aca="false">SUMIFS('Example Trades'!$V$5:$V$204,'Example Trades'!$C$5:$C$204,$A6)</f>
        <v>-462.6</v>
      </c>
      <c r="G6" s="21" t="n">
        <f aca="false">SUMIFS('Example Trades'!$K$5:$K$204,'Example Trades'!$C$5:$C$204,$A6,'Example Trades'!$AA$5:$AA$204,"Realized")</f>
        <v>2.6</v>
      </c>
      <c r="H6" s="21" t="n">
        <f aca="false">SUMIFS('Example Trades'!$W$5:$W$204,'Example Trades'!$C$5:$C$204,$A6,'Example Trades'!$AA$5:$AA$204,"Realized")</f>
        <v>700</v>
      </c>
      <c r="I6" s="22" t="n">
        <f aca="false">IF(H6&gt;0,F6/H6,"")</f>
        <v>-0.660857142857143</v>
      </c>
      <c r="J6" s="23" t="n">
        <f aca="false">IF(D6&gt;0,SUMIFS('Example Trades'!$Q$5:$Q$204,'Example Trades'!$C$5:$C$204,$A6,'Example Trades'!$AA$5:$AA$204,"Realized")/D6,"")</f>
        <v>29</v>
      </c>
    </row>
    <row r="7" customFormat="false" ht="15" hidden="false" customHeight="false" outlineLevel="0" collapsed="false">
      <c r="A7" s="19" t="s">
        <v>86</v>
      </c>
      <c r="B7" s="20" t="n">
        <f aca="false">COUNTIFS('Example Trades'!$C$5:$C$204,$A7)</f>
        <v>3</v>
      </c>
      <c r="C7" s="20" t="n">
        <f aca="false">COUNTIFS('Example Trades'!$C$5:$C$204,$A7,'Example Trades'!$AA$5:$AA$204,"Open")</f>
        <v>0</v>
      </c>
      <c r="D7" s="20" t="n">
        <f aca="false">COUNTIFS('Example Trades'!$C$5:$C$204,$A7,'Example Trades'!$AA$5:$AA$204,"Realized")</f>
        <v>3</v>
      </c>
      <c r="E7" s="20" t="n">
        <f aca="false">COUNTIFS('Example Trades'!$C$5:$C$204,$A7,'Example Trades'!$V$5:$V$204,"&gt;0")</f>
        <v>3</v>
      </c>
      <c r="F7" s="21" t="n">
        <f aca="false">SUMIFS('Example Trades'!$V$5:$V$204,'Example Trades'!$C$5:$C$204,$A7)</f>
        <v>1585.9</v>
      </c>
      <c r="G7" s="21" t="n">
        <f aca="false">SUMIFS('Example Trades'!$K$5:$K$204,'Example Trades'!$C$5:$C$204,$A7,'Example Trades'!$AA$5:$AA$204,"Realized")</f>
        <v>9.1</v>
      </c>
      <c r="H7" s="21" t="n">
        <f aca="false">SUMIFS('Example Trades'!$W$5:$W$204,'Example Trades'!$C$5:$C$204,$A7,'Example Trades'!$AA$5:$AA$204,"Realized")</f>
        <v>28105</v>
      </c>
      <c r="I7" s="22" t="n">
        <f aca="false">IF(H7&gt;0,F7/H7,"")</f>
        <v>0.0564276819071339</v>
      </c>
      <c r="J7" s="23" t="n">
        <f aca="false">IF(D7&gt;0,SUMIFS('Example Trades'!$Q$5:$Q$204,'Example Trades'!$C$5:$C$204,$A7,'Example Trades'!$AA$5:$AA$204,"Realized")/D7,"")</f>
        <v>40</v>
      </c>
    </row>
    <row r="8" customFormat="false" ht="15" hidden="false" customHeight="false" outlineLevel="0" collapsed="false">
      <c r="A8" s="19" t="s">
        <v>87</v>
      </c>
      <c r="B8" s="20" t="n">
        <f aca="false">COUNTIFS('Example Trades'!$C$5:$C$204,$A8)</f>
        <v>5</v>
      </c>
      <c r="C8" s="20" t="n">
        <f aca="false">COUNTIFS('Example Trades'!$C$5:$C$204,$A8,'Example Trades'!$AA$5:$AA$204,"Open")</f>
        <v>1</v>
      </c>
      <c r="D8" s="20" t="n">
        <f aca="false">COUNTIFS('Example Trades'!$C$5:$C$204,$A8,'Example Trades'!$AA$5:$AA$204,"Realized")</f>
        <v>4</v>
      </c>
      <c r="E8" s="20" t="n">
        <f aca="false">COUNTIFS('Example Trades'!$C$5:$C$204,$A8,'Example Trades'!$V$5:$V$204,"&gt;0")</f>
        <v>4</v>
      </c>
      <c r="F8" s="21" t="n">
        <f aca="false">SUMIFS('Example Trades'!$V$5:$V$204,'Example Trades'!$C$5:$C$204,$A8)</f>
        <v>865</v>
      </c>
      <c r="G8" s="21" t="n">
        <f aca="false">SUMIFS('Example Trades'!$K$5:$K$204,'Example Trades'!$C$5:$C$204,$A8,'Example Trades'!$AA$5:$AA$204,"Realized")</f>
        <v>13</v>
      </c>
      <c r="H8" s="21" t="n">
        <f aca="false">SUMIFS('Example Trades'!$W$5:$W$204,'Example Trades'!$C$5:$C$204,$A8,'Example Trades'!$AA$5:$AA$204,"Realized")</f>
        <v>38002</v>
      </c>
      <c r="I8" s="22" t="n">
        <f aca="false">IF(H8&gt;0,F8/H8,"")</f>
        <v>0.0227619598968475</v>
      </c>
      <c r="J8" s="23" t="n">
        <f aca="false">IF(D8&gt;0,SUMIFS('Example Trades'!$Q$5:$Q$204,'Example Trades'!$C$5:$C$204,$A8,'Example Trades'!$AA$5:$AA$204,"Realized")/D8,"")</f>
        <v>32</v>
      </c>
    </row>
    <row r="9" customFormat="false" ht="15" hidden="false" customHeight="false" outlineLevel="0" collapsed="false">
      <c r="A9" s="24" t="s">
        <v>88</v>
      </c>
      <c r="B9" s="25" t="n">
        <f aca="false">SUM(B5:B8)</f>
        <v>12</v>
      </c>
      <c r="C9" s="25" t="n">
        <f aca="false">SUM(C5:C8)</f>
        <v>2</v>
      </c>
      <c r="D9" s="25" t="n">
        <f aca="false">SUM(D5:D8)</f>
        <v>10</v>
      </c>
      <c r="E9" s="25" t="n">
        <f aca="false">SUM(E5:E8)</f>
        <v>8</v>
      </c>
      <c r="F9" s="26" t="n">
        <f aca="false">SUM(F5:F8)</f>
        <v>1875.7</v>
      </c>
      <c r="G9" s="26" t="n">
        <f aca="false">SUM(G5:G8)</f>
        <v>27.3</v>
      </c>
      <c r="H9" s="26" t="n">
        <f aca="false">SUM(H5:H8)</f>
        <v>67607</v>
      </c>
      <c r="I9" s="27" t="n">
        <f aca="false">IF(H9&gt;0,F9/H9,"")</f>
        <v>0.0277441685032615</v>
      </c>
      <c r="J9" s="28" t="n">
        <f aca="false">IF(D9&gt;0,SUMIFS('Example Trades'!$Q$5:$Q$204,'Example Trades'!$AA$5:$AA$204,"Realized")/D9,"")</f>
        <v>37.3</v>
      </c>
    </row>
    <row r="11" customFormat="false" ht="16.15" hidden="false" customHeight="false" outlineLevel="0" collapsed="false">
      <c r="A11" s="29" t="s">
        <v>89</v>
      </c>
    </row>
    <row r="12" customFormat="false" ht="15" hidden="false" customHeight="false" outlineLevel="0" collapsed="false">
      <c r="A12" s="30" t="s">
        <v>90</v>
      </c>
      <c r="B12" s="30"/>
      <c r="C12" s="30"/>
      <c r="D12" s="30"/>
      <c r="E12" s="20" t="n">
        <f aca="false">COUNTIFS('Example Trades'!$AA$5:$AA$204,"Open")</f>
        <v>2</v>
      </c>
    </row>
    <row r="13" customFormat="false" ht="15" hidden="false" customHeight="false" outlineLevel="0" collapsed="false">
      <c r="A13" s="30" t="s">
        <v>91</v>
      </c>
      <c r="B13" s="30"/>
      <c r="C13" s="30"/>
      <c r="D13" s="30"/>
      <c r="E13" s="21" t="n">
        <f aca="false">SUMIFS('Example Trades'!$O$5:$O$204,'Example Trades'!$AA$5:$AA$204,"Open")</f>
        <v>-140</v>
      </c>
    </row>
    <row r="14" customFormat="false" ht="15" hidden="false" customHeight="false" outlineLevel="0" collapsed="false">
      <c r="A14" s="30" t="s">
        <v>92</v>
      </c>
      <c r="B14" s="30"/>
      <c r="C14" s="30"/>
      <c r="D14" s="30"/>
      <c r="E14" s="21" t="n">
        <f aca="false">SUMIFS('Example Trades'!$W$5:$W$204,'Example Trades'!$AA$5:$AA$204,"Open")</f>
        <v>10340</v>
      </c>
    </row>
    <row r="15" customFormat="false" ht="15" hidden="false" customHeight="false" outlineLevel="0" collapsed="false">
      <c r="A15" s="30" t="s">
        <v>93</v>
      </c>
      <c r="B15" s="30"/>
      <c r="C15" s="30"/>
      <c r="D15" s="30"/>
      <c r="E15" s="20" t="n">
        <f aca="false">COUNTIFS('Example Trades'!$AA$5:$AA$204,"Open",'Example Trades'!$R$5:$R$204,"&lt;=7")</f>
        <v>0</v>
      </c>
    </row>
    <row r="18" customFormat="false" ht="16.15" hidden="false" customHeight="false" outlineLevel="0" collapsed="false">
      <c r="A18" s="29" t="s">
        <v>94</v>
      </c>
    </row>
    <row r="19" customFormat="false" ht="15" hidden="false" customHeight="false" outlineLevel="0" collapsed="false">
      <c r="A19" s="6" t="s">
        <v>95</v>
      </c>
      <c r="B19" s="9" t="n">
        <v>2026</v>
      </c>
      <c r="C19" s="8" t="s">
        <v>96</v>
      </c>
    </row>
    <row r="20" customFormat="false" ht="31.5" hidden="false" customHeight="true" outlineLevel="0" collapsed="false">
      <c r="A20" s="11" t="s">
        <v>97</v>
      </c>
      <c r="B20" s="11" t="s">
        <v>72</v>
      </c>
      <c r="C20" s="11" t="s">
        <v>98</v>
      </c>
    </row>
    <row r="21" customFormat="false" ht="15" hidden="false" customHeight="false" outlineLevel="0" collapsed="false">
      <c r="A21" s="31" t="n">
        <f aca="false">DATE($B$19,1,1)</f>
        <v>46023</v>
      </c>
      <c r="B21" s="21" t="n">
        <f aca="false">SUMIFS('Example Trades'!$V$5:$V$204,'Example Trades'!$Z$5:$Z$204,"&gt;="&amp;$A21,'Example Trades'!$Z$5:$Z$204,"&lt;"&amp;DATE($B$19,2,1))</f>
        <v>0</v>
      </c>
      <c r="C21" s="20" t="n">
        <f aca="false">COUNTIFS('Example Trades'!$Z$5:$Z$204,"&gt;="&amp;$A21,'Example Trades'!$Z$5:$Z$204,"&lt;"&amp;DATE($B$19,2,1))</f>
        <v>0</v>
      </c>
    </row>
    <row r="22" customFormat="false" ht="15" hidden="false" customHeight="false" outlineLevel="0" collapsed="false">
      <c r="A22" s="31" t="n">
        <f aca="false">DATE($B$19,2,1)</f>
        <v>46054</v>
      </c>
      <c r="B22" s="21" t="n">
        <f aca="false">SUMIFS('Example Trades'!$V$5:$V$204,'Example Trades'!$Z$5:$Z$204,"&gt;="&amp;$A22,'Example Trades'!$Z$5:$Z$204,"&lt;"&amp;DATE($B$19,3,1))</f>
        <v>546.1</v>
      </c>
      <c r="C22" s="20" t="n">
        <f aca="false">COUNTIFS('Example Trades'!$Z$5:$Z$204,"&gt;="&amp;$A22,'Example Trades'!$Z$5:$Z$204,"&lt;"&amp;DATE($B$19,3,1))</f>
        <v>2</v>
      </c>
    </row>
    <row r="23" customFormat="false" ht="15" hidden="false" customHeight="false" outlineLevel="0" collapsed="false">
      <c r="A23" s="31" t="n">
        <f aca="false">DATE($B$19,3,1)</f>
        <v>46082</v>
      </c>
      <c r="B23" s="21" t="n">
        <f aca="false">SUMIFS('Example Trades'!$V$5:$V$204,'Example Trades'!$Z$5:$Z$204,"&gt;="&amp;$A23,'Example Trades'!$Z$5:$Z$204,"&lt;"&amp;DATE($B$19,4,1))</f>
        <v>948.499999999999</v>
      </c>
      <c r="C23" s="20" t="n">
        <f aca="false">COUNTIFS('Example Trades'!$Z$5:$Z$204,"&gt;="&amp;$A23,'Example Trades'!$Z$5:$Z$204,"&lt;"&amp;DATE($B$19,4,1))</f>
        <v>2</v>
      </c>
    </row>
    <row r="24" customFormat="false" ht="15" hidden="false" customHeight="false" outlineLevel="0" collapsed="false">
      <c r="A24" s="31" t="n">
        <f aca="false">DATE($B$19,4,1)</f>
        <v>46113</v>
      </c>
      <c r="B24" s="21" t="n">
        <f aca="false">SUMIFS('Example Trades'!$V$5:$V$204,'Example Trades'!$Z$5:$Z$204,"&gt;="&amp;$A24,'Example Trades'!$Z$5:$Z$204,"&lt;"&amp;DATE($B$19,5,1))</f>
        <v>-462.6</v>
      </c>
      <c r="C24" s="20" t="n">
        <f aca="false">COUNTIFS('Example Trades'!$Z$5:$Z$204,"&gt;="&amp;$A24,'Example Trades'!$Z$5:$Z$204,"&lt;"&amp;DATE($B$19,5,1))</f>
        <v>1</v>
      </c>
    </row>
    <row r="25" customFormat="false" ht="15" hidden="false" customHeight="false" outlineLevel="0" collapsed="false">
      <c r="A25" s="31" t="n">
        <f aca="false">DATE($B$19,5,1)</f>
        <v>46143</v>
      </c>
      <c r="B25" s="21" t="n">
        <f aca="false">SUMIFS('Example Trades'!$V$5:$V$204,'Example Trades'!$Z$5:$Z$204,"&gt;="&amp;$A25,'Example Trades'!$Z$5:$Z$204,"&lt;"&amp;DATE($B$19,6,1))</f>
        <v>247.4</v>
      </c>
      <c r="C25" s="20" t="n">
        <f aca="false">COUNTIFS('Example Trades'!$Z$5:$Z$204,"&gt;="&amp;$A25,'Example Trades'!$Z$5:$Z$204,"&lt;"&amp;DATE($B$19,6,1))</f>
        <v>1</v>
      </c>
    </row>
    <row r="26" customFormat="false" ht="15" hidden="false" customHeight="false" outlineLevel="0" collapsed="false">
      <c r="A26" s="31" t="n">
        <f aca="false">DATE($B$19,6,1)</f>
        <v>46174</v>
      </c>
      <c r="B26" s="21" t="n">
        <f aca="false">SUMIFS('Example Trades'!$V$5:$V$204,'Example Trades'!$Z$5:$Z$204,"&gt;="&amp;$A26,'Example Trades'!$Z$5:$Z$204,"&lt;"&amp;DATE($B$19,7,1))</f>
        <v>187.4</v>
      </c>
      <c r="C26" s="20" t="n">
        <f aca="false">COUNTIFS('Example Trades'!$Z$5:$Z$204,"&gt;="&amp;$A26,'Example Trades'!$Z$5:$Z$204,"&lt;"&amp;DATE($B$19,7,1))</f>
        <v>1</v>
      </c>
    </row>
    <row r="27" customFormat="false" ht="15" hidden="false" customHeight="false" outlineLevel="0" collapsed="false">
      <c r="A27" s="31" t="n">
        <f aca="false">DATE($B$19,7,1)</f>
        <v>46204</v>
      </c>
      <c r="B27" s="21" t="n">
        <f aca="false">SUMIFS('Example Trades'!$V$5:$V$204,'Example Trades'!$Z$5:$Z$204,"&gt;="&amp;$A27,'Example Trades'!$Z$5:$Z$204,"&lt;"&amp;DATE($B$19,8,1))</f>
        <v>0</v>
      </c>
      <c r="C27" s="20" t="n">
        <f aca="false">COUNTIFS('Example Trades'!$Z$5:$Z$204,"&gt;="&amp;$A27,'Example Trades'!$Z$5:$Z$204,"&lt;"&amp;DATE($B$19,8,1))</f>
        <v>0</v>
      </c>
    </row>
    <row r="28" customFormat="false" ht="15" hidden="false" customHeight="false" outlineLevel="0" collapsed="false">
      <c r="A28" s="31" t="n">
        <f aca="false">DATE($B$19,8,1)</f>
        <v>46235</v>
      </c>
      <c r="B28" s="21" t="n">
        <f aca="false">SUMIFS('Example Trades'!$V$5:$V$204,'Example Trades'!$Z$5:$Z$204,"&gt;="&amp;$A28,'Example Trades'!$Z$5:$Z$204,"&lt;"&amp;DATE($B$19,9,1))</f>
        <v>226.1</v>
      </c>
      <c r="C28" s="20" t="n">
        <f aca="false">COUNTIFS('Example Trades'!$Z$5:$Z$204,"&gt;="&amp;$A28,'Example Trades'!$Z$5:$Z$204,"&lt;"&amp;DATE($B$19,9,1))</f>
        <v>2</v>
      </c>
    </row>
    <row r="29" customFormat="false" ht="15" hidden="false" customHeight="false" outlineLevel="0" collapsed="false">
      <c r="A29" s="31" t="n">
        <f aca="false">DATE($B$19,9,1)</f>
        <v>46266</v>
      </c>
      <c r="B29" s="21" t="n">
        <f aca="false">SUMIFS('Example Trades'!$V$5:$V$204,'Example Trades'!$Z$5:$Z$204,"&gt;="&amp;$A29,'Example Trades'!$Z$5:$Z$204,"&lt;"&amp;DATE($B$19,10,1))</f>
        <v>182.8</v>
      </c>
      <c r="C29" s="20" t="n">
        <f aca="false">COUNTIFS('Example Trades'!$Z$5:$Z$204,"&gt;="&amp;$A29,'Example Trades'!$Z$5:$Z$204,"&lt;"&amp;DATE($B$19,10,1))</f>
        <v>1</v>
      </c>
    </row>
    <row r="30" customFormat="false" ht="15" hidden="false" customHeight="false" outlineLevel="0" collapsed="false">
      <c r="A30" s="31" t="n">
        <f aca="false">DATE($B$19,10,1)</f>
        <v>46296</v>
      </c>
      <c r="B30" s="21" t="n">
        <f aca="false">SUMIFS('Example Trades'!$V$5:$V$204,'Example Trades'!$Z$5:$Z$204,"&gt;="&amp;$A30,'Example Trades'!$Z$5:$Z$204,"&lt;"&amp;DATE($B$19,11,1))</f>
        <v>0</v>
      </c>
      <c r="C30" s="20" t="n">
        <f aca="false">COUNTIFS('Example Trades'!$Z$5:$Z$204,"&gt;="&amp;$A30,'Example Trades'!$Z$5:$Z$204,"&lt;"&amp;DATE($B$19,11,1))</f>
        <v>0</v>
      </c>
    </row>
    <row r="31" customFormat="false" ht="15" hidden="false" customHeight="false" outlineLevel="0" collapsed="false">
      <c r="A31" s="31" t="n">
        <f aca="false">DATE($B$19,11,1)</f>
        <v>46327</v>
      </c>
      <c r="B31" s="21" t="n">
        <f aca="false">SUMIFS('Example Trades'!$V$5:$V$204,'Example Trades'!$Z$5:$Z$204,"&gt;="&amp;$A31,'Example Trades'!$Z$5:$Z$204,"&lt;"&amp;DATE($B$19,12,1))</f>
        <v>0</v>
      </c>
      <c r="C31" s="20" t="n">
        <f aca="false">COUNTIFS('Example Trades'!$Z$5:$Z$204,"&gt;="&amp;$A31,'Example Trades'!$Z$5:$Z$204,"&lt;"&amp;DATE($B$19,12,1))</f>
        <v>0</v>
      </c>
    </row>
    <row r="32" customFormat="false" ht="15" hidden="false" customHeight="false" outlineLevel="0" collapsed="false">
      <c r="A32" s="31" t="n">
        <f aca="false">DATE($B$19,12,1)</f>
        <v>46357</v>
      </c>
      <c r="B32" s="21" t="n">
        <f aca="false">SUMIFS('Example Trades'!$V$5:$V$204,'Example Trades'!$Z$5:$Z$204,"&gt;="&amp;$A32,'Example Trades'!$Z$5:$Z$204,"&lt;"&amp;DATE($B$19,13,1))</f>
        <v>0</v>
      </c>
      <c r="C32" s="20" t="n">
        <f aca="false">COUNTIFS('Example Trades'!$Z$5:$Z$204,"&gt;="&amp;$A32,'Example Trades'!$Z$5:$Z$204,"&lt;"&amp;DATE($B$19,13,1))</f>
        <v>0</v>
      </c>
    </row>
    <row r="33" customFormat="false" ht="15" hidden="false" customHeight="false" outlineLevel="0" collapsed="false">
      <c r="A33" s="24" t="s">
        <v>88</v>
      </c>
      <c r="B33" s="26" t="n">
        <f aca="false">SUM(B21:B32)</f>
        <v>1875.7</v>
      </c>
      <c r="C33" s="24" t="n">
        <f aca="false">SUM(C21:C32)</f>
        <v>10</v>
      </c>
    </row>
  </sheetData>
  <mergeCells count="4">
    <mergeCell ref="A12:D12"/>
    <mergeCell ref="A13:D13"/>
    <mergeCell ref="A14:D14"/>
    <mergeCell ref="A15:D1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2026-10-25T13:01:08Z</dcterms:created>
  <dc:creator>becoin.net</dc:creator>
  <dc:description/>
  <dc:language>en-US</dc:language>
  <cp:lastModifiedBy/>
  <dcterms:modified xsi:type="dcterms:W3CDTF">2026-10-25T13:01:08Z</dcterms:modified>
  <cp:revision>0</cp:revision>
  <dc:subject/>
  <dc:title>Options Trading Tracker</dc:title>
</cp:coreProperties>
</file>

<file path=docProps/custom.xml><?xml version="1.0" encoding="utf-8"?>
<Properties xmlns="http://schemas.openxmlformats.org/officeDocument/2006/custom-properties" xmlns:vt="http://schemas.openxmlformats.org/officeDocument/2006/docPropsVTypes"/>
</file>